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45" windowWidth="4635" windowHeight="4185" activeTab="5"/>
  </bookViews>
  <sheets>
    <sheet name="P&amp;L" sheetId="1" r:id="rId1"/>
    <sheet name="CFQ2" sheetId="2" state="hidden" r:id="rId2"/>
    <sheet name="CF" sheetId="3" state="hidden" r:id="rId3"/>
    <sheet name="BS" sheetId="4" r:id="rId4"/>
    <sheet name="EQY" sheetId="5" r:id="rId5"/>
    <sheet name="CF2004" sheetId="6" r:id="rId6"/>
    <sheet name="G&amp;L" sheetId="7" state="hidden" r:id="rId7"/>
  </sheets>
  <externalReferences>
    <externalReference r:id="rId10"/>
    <externalReference r:id="rId11"/>
    <externalReference r:id="rId12"/>
  </externalReferences>
  <definedNames>
    <definedName name="_xlnm.Print_Area" localSheetId="3">'BS'!$A$1:$F$54</definedName>
    <definedName name="_xlnm.Print_Area" localSheetId="2">'CF'!$A$1:$M$78</definedName>
    <definedName name="_xlnm.Print_Area" localSheetId="5">'CF2004'!$A$1:$K$75</definedName>
    <definedName name="_xlnm.Print_Area" localSheetId="1">'CFQ2'!$A$1:$M$76</definedName>
    <definedName name="_xlnm.Print_Area" localSheetId="4">'EQY'!$A$1:$O$29</definedName>
    <definedName name="_xlnm.Print_Area" localSheetId="6">'G&amp;L'!$A$1:$D$57</definedName>
    <definedName name="_xlnm.Print_Area" localSheetId="0">'P&amp;L'!$A$1:$H$51</definedName>
    <definedName name="_xlnm.Print_Titles" localSheetId="2">'CF'!$1:$10</definedName>
    <definedName name="_xlnm.Print_Titles" localSheetId="5">'CF2004'!$1:$8</definedName>
    <definedName name="_xlnm.Print_Titles" localSheetId="1">'CFQ2'!$1:$8</definedName>
  </definedNames>
  <calcPr fullCalcOnLoad="1"/>
</workbook>
</file>

<file path=xl/sharedStrings.xml><?xml version="1.0" encoding="utf-8"?>
<sst xmlns="http://schemas.openxmlformats.org/spreadsheetml/2006/main" count="325" uniqueCount="165">
  <si>
    <t xml:space="preserve"> </t>
  </si>
  <si>
    <t>CURRENT YEAR</t>
  </si>
  <si>
    <t>PRECEDING YEAR</t>
  </si>
  <si>
    <t>QUARTER</t>
  </si>
  <si>
    <t>CORRESPONDING</t>
  </si>
  <si>
    <t>TO DATE</t>
  </si>
  <si>
    <t>PERIOD</t>
  </si>
  <si>
    <t>Revenue</t>
  </si>
  <si>
    <t>Taxation</t>
  </si>
  <si>
    <t>MAGNA PRIMA BERHAD</t>
  </si>
  <si>
    <t>CURRENT ASSETS</t>
  </si>
  <si>
    <t>Debtors</t>
  </si>
  <si>
    <t>CURRENT LIABILITIES</t>
  </si>
  <si>
    <t>Creditors</t>
  </si>
  <si>
    <t>SHAREHOLDERS' FUNDS</t>
  </si>
  <si>
    <t>SHARE CAPITAL</t>
  </si>
  <si>
    <t>RESERVES</t>
  </si>
  <si>
    <t>Share Premium</t>
  </si>
  <si>
    <t>Retained Profit</t>
  </si>
  <si>
    <t>Reserves</t>
  </si>
  <si>
    <t>MINORITY INTEREST</t>
  </si>
  <si>
    <t>LONG TERM BORROWINGS</t>
  </si>
  <si>
    <t>Bank Borrowings</t>
  </si>
  <si>
    <t>PROPERTY, PLANT AND EQUIPMENT</t>
  </si>
  <si>
    <t>JOINT VENTURES</t>
  </si>
  <si>
    <t>INVESTMENTS</t>
  </si>
  <si>
    <t>Gross amount due from customers for contract work</t>
  </si>
  <si>
    <t>Deposits, Cash &amp; Bank Balances</t>
  </si>
  <si>
    <t>HIRE PURCHASE CREDITORS</t>
  </si>
  <si>
    <t>Inventories</t>
  </si>
  <si>
    <t xml:space="preserve">Development properties </t>
  </si>
  <si>
    <t>FOR THE QUARTER ENDED 30 SEPT 2002</t>
  </si>
  <si>
    <t>RM</t>
  </si>
  <si>
    <t>Cost of Sales</t>
  </si>
  <si>
    <t>Other Operating Income</t>
  </si>
  <si>
    <t>Finance Costs</t>
  </si>
  <si>
    <t xml:space="preserve">Taxation </t>
  </si>
  <si>
    <t>Minority Interests</t>
  </si>
  <si>
    <t>Share of Results of Joint Venture Entities</t>
  </si>
  <si>
    <t>CONDENSED CONSOLIDATED BALANCE SHEETS</t>
  </si>
  <si>
    <t>As At</t>
  </si>
  <si>
    <t xml:space="preserve">As At </t>
  </si>
  <si>
    <t xml:space="preserve">CONDENSED CONSOLIDATED STATEMENTS OF CHANGES IN EQUITY </t>
  </si>
  <si>
    <t>Total</t>
  </si>
  <si>
    <t>Balance at end of period</t>
  </si>
  <si>
    <t>CONDENSED CONSOLIDATED STATEMENT OF RECOGNISED GAINS AND LOSSES</t>
  </si>
  <si>
    <t xml:space="preserve">9 month cumulative </t>
  </si>
  <si>
    <t>to date</t>
  </si>
  <si>
    <t>Surplus / (deficit) on revaluation</t>
  </si>
  <si>
    <t>Others</t>
  </si>
  <si>
    <t>Net gains (losses) not recognised in the income statement</t>
  </si>
  <si>
    <t>Net profit (Cumulative)</t>
  </si>
  <si>
    <t>Total recognised gains and losses</t>
  </si>
  <si>
    <t>RM'000</t>
  </si>
  <si>
    <t>Operating expenses</t>
  </si>
  <si>
    <t>Annual Financial Report for the year ended 31st December 2001)</t>
  </si>
  <si>
    <t>(The Condensed Consolidated Statement of Recognised Gains and Losses should be read in conjuction with the</t>
  </si>
  <si>
    <t xml:space="preserve">         Basic (sen)</t>
  </si>
  <si>
    <t xml:space="preserve">         Diluted (sen)</t>
  </si>
  <si>
    <t>N/A</t>
  </si>
  <si>
    <t>NET CURRENT ASSETS</t>
  </si>
  <si>
    <t>Share</t>
  </si>
  <si>
    <t>Capital</t>
  </si>
  <si>
    <t>Reserve on</t>
  </si>
  <si>
    <t>Retained</t>
  </si>
  <si>
    <t>Premium</t>
  </si>
  <si>
    <t>Reserve</t>
  </si>
  <si>
    <t>Consolidation</t>
  </si>
  <si>
    <t>Profit</t>
  </si>
  <si>
    <t>Amount credited to income statement</t>
  </si>
  <si>
    <t>Balance at 31st December 2002</t>
  </si>
  <si>
    <t>Net profit for the period</t>
  </si>
  <si>
    <t>Share issue expenses</t>
  </si>
  <si>
    <t xml:space="preserve">CONDENSED CONSOLIDATED INCOME STATEMENTS </t>
  </si>
  <si>
    <t xml:space="preserve">Gross Profit </t>
  </si>
  <si>
    <t>Profit From Operations</t>
  </si>
  <si>
    <t>31.12.2002</t>
  </si>
  <si>
    <t>CASH FLOWS FROM OPERATING ACTIVITIES</t>
  </si>
  <si>
    <t xml:space="preserve">Adjustments for:- </t>
  </si>
  <si>
    <t>Depreciation</t>
  </si>
  <si>
    <t>Gain on disposal of property, plant and equipment</t>
  </si>
  <si>
    <t>Interest income</t>
  </si>
  <si>
    <t>Interest expense</t>
  </si>
  <si>
    <t>Reserve on consolidation recognised</t>
  </si>
  <si>
    <t>Operating profit before working capital changes</t>
  </si>
  <si>
    <t xml:space="preserve">  customers for contract work</t>
  </si>
  <si>
    <t xml:space="preserve">  property assets</t>
  </si>
  <si>
    <t>Cash generated from operations</t>
  </si>
  <si>
    <t xml:space="preserve">Taxation paid </t>
  </si>
  <si>
    <t>Interest received</t>
  </si>
  <si>
    <t>Interest paid</t>
  </si>
  <si>
    <t>Net cash from operating activities</t>
  </si>
  <si>
    <t>CASH FLOWS FROM INVESTING ACTIVITIES</t>
  </si>
  <si>
    <t>Purchase of property, plant and equipment</t>
  </si>
  <si>
    <t xml:space="preserve">Net proceeds from disposal of property, plant and </t>
  </si>
  <si>
    <t xml:space="preserve">  equipment</t>
  </si>
  <si>
    <t>Net cash from investing activities</t>
  </si>
  <si>
    <t>CASH FLOWS FROM FINANCING ACTIVITIES</t>
  </si>
  <si>
    <t xml:space="preserve">Payment of hire purchase liabilities </t>
  </si>
  <si>
    <t>Term and bridging loans repaid</t>
  </si>
  <si>
    <t>Net repayment of short term bank borrowings</t>
  </si>
  <si>
    <t>Shares issue expenses</t>
  </si>
  <si>
    <t>Net cash used in financing activities</t>
  </si>
  <si>
    <t>NET INCREASE IN CASH AND CASH EQUIVALENTS</t>
  </si>
  <si>
    <t>CASH AND CASH EQUIVALENTS AT END</t>
  </si>
  <si>
    <t>31.12.2001</t>
  </si>
  <si>
    <t>Loss before taxation</t>
  </si>
  <si>
    <t>Cash and cash equivalents at beginning of financial period</t>
  </si>
  <si>
    <t xml:space="preserve">  OF  FINANCIAL PERIOD </t>
  </si>
  <si>
    <t xml:space="preserve">  OF  FINANCIAL PERIOD COMPRISE THE FOLLOWING :</t>
  </si>
  <si>
    <t>Deposists, cash and bank balances</t>
  </si>
  <si>
    <t>Less : Bank overdrafts</t>
  </si>
  <si>
    <t>The condensed Consolidated Income Statements should be read in conjuction with the audited financial statements</t>
  </si>
  <si>
    <t>CONDENSED CONSOLIDATED CASH FLOW STATEMENTS</t>
  </si>
  <si>
    <t>Balance at 31st December 2003</t>
  </si>
  <si>
    <t>DEFERRED TAXATION</t>
  </si>
  <si>
    <t>Earnings per share (Note B13)</t>
  </si>
  <si>
    <t>New share issued</t>
  </si>
  <si>
    <t>GOODWILL ON CONSOLIDATION</t>
  </si>
  <si>
    <t>Amount Owing to Directors</t>
  </si>
  <si>
    <t>Net Profit /(Loss) For the Period</t>
  </si>
  <si>
    <t xml:space="preserve">Profit/(Loss) Before Taxation </t>
  </si>
  <si>
    <t>Profit/(Loss) After Taxation</t>
  </si>
  <si>
    <t>Proceeds from issuance of shares</t>
  </si>
  <si>
    <t xml:space="preserve">Gross amount due from </t>
  </si>
  <si>
    <t xml:space="preserve">Development properties and real </t>
  </si>
  <si>
    <t>Trade and other debtors</t>
  </si>
  <si>
    <t>Trade and other creditors</t>
  </si>
  <si>
    <t>30/06/2003</t>
  </si>
  <si>
    <t>30/06/2004</t>
  </si>
  <si>
    <t>FOR THE QUARTER ENDED 30 JUNE 2004</t>
  </si>
  <si>
    <t>AS AT 30 JUNE 2004</t>
  </si>
  <si>
    <t>CONSOLIDATED CASH FLOW STATEMENT</t>
  </si>
  <si>
    <t>30.06.2004</t>
  </si>
  <si>
    <t>30.06.2003</t>
  </si>
  <si>
    <t>30.06.2002</t>
  </si>
  <si>
    <t>Profit before taxation</t>
  </si>
  <si>
    <t>Plant and equipment written off</t>
  </si>
  <si>
    <t>Share of joint venture loss</t>
  </si>
  <si>
    <t>Loss on disposal of property, plant and equipment</t>
  </si>
  <si>
    <t>Amortisation of goodwill</t>
  </si>
  <si>
    <t>Bad debts written off</t>
  </si>
  <si>
    <t>Allowance for doubtful debt</t>
  </si>
  <si>
    <t xml:space="preserve">Write back of provision for expenses no longer </t>
  </si>
  <si>
    <t xml:space="preserve">  required</t>
  </si>
  <si>
    <t>Gross amount due from customers</t>
  </si>
  <si>
    <t xml:space="preserve">  for contract work</t>
  </si>
  <si>
    <t>Development properties and real property assets</t>
  </si>
  <si>
    <t xml:space="preserve"> Joint venture</t>
  </si>
  <si>
    <t>Amount owing to directors</t>
  </si>
  <si>
    <t>Receipts from joint venture entities</t>
  </si>
  <si>
    <t>Real Property Gains Tax paid</t>
  </si>
  <si>
    <t>Placement of fixed deposits</t>
  </si>
  <si>
    <t>Investment in subsidiary</t>
  </si>
  <si>
    <t>Deposits, cash and bank balances</t>
  </si>
  <si>
    <t>loan</t>
  </si>
  <si>
    <t>cash</t>
  </si>
  <si>
    <t>31/12/2003</t>
  </si>
  <si>
    <t>The condensed Consolidated Statements of Changes in Equity should be read in conjuction with the audited financial statements for the year ended 31 December 2003 and the accompanying explanatory notes attached to the interim financial statements.</t>
  </si>
  <si>
    <t>FOR THE QUARTER ENDED 30 JUNE 2003</t>
  </si>
  <si>
    <t>The condensed Consolidated Balance Sheets should be read in conjuction with the audited</t>
  </si>
  <si>
    <t xml:space="preserve">financial statements for the year ended 31 December 2003 and the accompanying explanatory </t>
  </si>
  <si>
    <t>notes attached to the interim financial statements.</t>
  </si>
  <si>
    <t xml:space="preserve">for the year ended 31 December 2003 and the accompanying explanatory notes attached to the interim financial </t>
  </si>
  <si>
    <t>statements.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</si>
</sst>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 #,##0.00_-;\-* #,##0.00_-;_-* &quot;-&quot;??_-;_-@_-"/>
    <numFmt numFmtId="167" formatCode="_-* #,##0_-;\-* #,##0_-;_-* &quot;-&quot;??_-;_-@_-"/>
  </numFmts>
  <fonts count="16">
    <font>
      <sz val="10"/>
      <name val="Arial"/>
      <family val="0"/>
    </font>
    <font>
      <b/>
      <sz val="10"/>
      <name val="Arial"/>
      <family val="2"/>
    </font>
    <font>
      <sz val="9"/>
      <name val="Arial"/>
      <family val="2"/>
    </font>
    <font>
      <b/>
      <sz val="12"/>
      <name val="Arial"/>
      <family val="2"/>
    </font>
    <font>
      <b/>
      <u val="single"/>
      <sz val="12"/>
      <name val="Arial"/>
      <family val="2"/>
    </font>
    <font>
      <b/>
      <sz val="9"/>
      <name val="Arial"/>
      <family val="2"/>
    </font>
    <font>
      <sz val="11"/>
      <name val="Times New Roman"/>
      <family val="0"/>
    </font>
    <font>
      <sz val="12"/>
      <name val="Arial"/>
      <family val="2"/>
    </font>
    <font>
      <u val="single"/>
      <sz val="12"/>
      <name val="Arial"/>
      <family val="2"/>
    </font>
    <font>
      <u val="single"/>
      <sz val="10"/>
      <name val="Arial"/>
      <family val="2"/>
    </font>
    <font>
      <b/>
      <u val="single"/>
      <sz val="10"/>
      <name val="Arial"/>
      <family val="2"/>
    </font>
    <font>
      <u val="single"/>
      <sz val="10"/>
      <color indexed="36"/>
      <name val="Arial"/>
      <family val="0"/>
    </font>
    <font>
      <u val="single"/>
      <sz val="10"/>
      <color indexed="12"/>
      <name val="Arial"/>
      <family val="0"/>
    </font>
    <font>
      <sz val="11"/>
      <name val="Arial"/>
      <family val="2"/>
    </font>
    <font>
      <u val="singleAccounting"/>
      <sz val="12"/>
      <name val="Arial"/>
      <family val="2"/>
    </font>
    <font>
      <b/>
      <sz val="11"/>
      <name val="Arial"/>
      <family val="2"/>
    </font>
  </fonts>
  <fills count="2">
    <fill>
      <patternFill/>
    </fill>
    <fill>
      <patternFill patternType="gray125"/>
    </fill>
  </fills>
  <borders count="8">
    <border>
      <left/>
      <right/>
      <top/>
      <bottom/>
      <diagonal/>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color indexed="63"/>
      </top>
      <bottom style="medium"/>
    </border>
    <border>
      <left>
        <color indexed="63"/>
      </left>
      <right>
        <color indexed="63"/>
      </right>
      <top style="thin"/>
      <bottom style="medium"/>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6"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6" fillId="0" borderId="0">
      <alignment/>
      <protection/>
    </xf>
    <xf numFmtId="41" fontId="6" fillId="0" borderId="0">
      <alignment/>
      <protection/>
    </xf>
    <xf numFmtId="41" fontId="6" fillId="0" borderId="0">
      <alignment/>
      <protection/>
    </xf>
    <xf numFmtId="9" fontId="0" fillId="0" borderId="0" applyFont="0" applyFill="0" applyBorder="0" applyAlignment="0" applyProtection="0"/>
  </cellStyleXfs>
  <cellXfs count="150">
    <xf numFmtId="0" fontId="0" fillId="0" borderId="0" xfId="0" applyAlignment="1">
      <alignment/>
    </xf>
    <xf numFmtId="0" fontId="1" fillId="0" borderId="0" xfId="0" applyFont="1" applyAlignment="1">
      <alignment/>
    </xf>
    <xf numFmtId="0" fontId="3" fillId="0" borderId="0" xfId="0" applyFont="1" applyAlignment="1">
      <alignment/>
    </xf>
    <xf numFmtId="0" fontId="0" fillId="0" borderId="0" xfId="0" applyFont="1" applyAlignment="1">
      <alignment/>
    </xf>
    <xf numFmtId="0" fontId="1" fillId="0" borderId="0" xfId="0" applyFont="1" applyAlignment="1">
      <alignment horizontal="center"/>
    </xf>
    <xf numFmtId="0" fontId="0" fillId="0" borderId="0" xfId="0" applyFont="1" applyAlignment="1">
      <alignment horizontal="center"/>
    </xf>
    <xf numFmtId="0" fontId="4" fillId="0" borderId="0" xfId="0" applyFont="1" applyAlignment="1">
      <alignment horizontal="center"/>
    </xf>
    <xf numFmtId="0" fontId="1" fillId="0" borderId="0" xfId="0" applyFont="1" applyBorder="1" applyAlignment="1">
      <alignment/>
    </xf>
    <xf numFmtId="0" fontId="1" fillId="0" borderId="0" xfId="0" applyFont="1" applyBorder="1" applyAlignment="1">
      <alignment horizontal="center"/>
    </xf>
    <xf numFmtId="0" fontId="2" fillId="0" borderId="0" xfId="0" applyFont="1" applyBorder="1" applyAlignment="1">
      <alignment horizontal="center"/>
    </xf>
    <xf numFmtId="0" fontId="0" fillId="0" borderId="0" xfId="0" applyFont="1" applyBorder="1" applyAlignment="1">
      <alignment horizontal="left" vertical="top" wrapText="1" shrinkToFit="1"/>
    </xf>
    <xf numFmtId="165" fontId="0" fillId="0" borderId="0" xfId="15" applyNumberFormat="1" applyFont="1" applyBorder="1" applyAlignment="1">
      <alignment/>
    </xf>
    <xf numFmtId="0" fontId="0" fillId="0" borderId="0" xfId="0" applyFont="1" applyBorder="1" applyAlignment="1">
      <alignment/>
    </xf>
    <xf numFmtId="165" fontId="0" fillId="0" borderId="0" xfId="15" applyNumberFormat="1" applyFont="1" applyBorder="1" applyAlignment="1">
      <alignment vertical="top"/>
    </xf>
    <xf numFmtId="0" fontId="0" fillId="0" borderId="0" xfId="0" applyFont="1" applyBorder="1" applyAlignment="1">
      <alignment vertical="top"/>
    </xf>
    <xf numFmtId="0" fontId="0" fillId="0" borderId="0" xfId="0" applyBorder="1" applyAlignment="1">
      <alignment/>
    </xf>
    <xf numFmtId="0" fontId="3" fillId="0" borderId="0" xfId="0" applyFont="1" applyBorder="1" applyAlignment="1">
      <alignment/>
    </xf>
    <xf numFmtId="0" fontId="5" fillId="0" borderId="0" xfId="0" applyFont="1" applyBorder="1" applyAlignment="1">
      <alignment horizontal="center"/>
    </xf>
    <xf numFmtId="14" fontId="5" fillId="0" borderId="0" xfId="0" applyNumberFormat="1" applyFont="1" applyBorder="1" applyAlignment="1">
      <alignment horizontal="center"/>
    </xf>
    <xf numFmtId="165" fontId="0" fillId="0" borderId="1" xfId="15" applyNumberFormat="1" applyFont="1" applyBorder="1" applyAlignment="1">
      <alignment/>
    </xf>
    <xf numFmtId="0" fontId="0" fillId="0" borderId="0" xfId="0" applyFont="1" applyAlignment="1">
      <alignment/>
    </xf>
    <xf numFmtId="165" fontId="0" fillId="0" borderId="0" xfId="15" applyNumberFormat="1" applyFont="1" applyAlignment="1">
      <alignment/>
    </xf>
    <xf numFmtId="0" fontId="0" fillId="0" borderId="0" xfId="0" applyAlignment="1">
      <alignment wrapText="1" shrinkToFit="1"/>
    </xf>
    <xf numFmtId="0" fontId="3" fillId="0" borderId="0" xfId="0" applyFont="1" applyAlignment="1">
      <alignment/>
    </xf>
    <xf numFmtId="165" fontId="1" fillId="0" borderId="2" xfId="15" applyNumberFormat="1" applyFont="1" applyBorder="1" applyAlignment="1">
      <alignment/>
    </xf>
    <xf numFmtId="165" fontId="0" fillId="0" borderId="3" xfId="15" applyNumberFormat="1" applyFont="1" applyBorder="1" applyAlignment="1">
      <alignment/>
    </xf>
    <xf numFmtId="165" fontId="0" fillId="0" borderId="4" xfId="15" applyNumberFormat="1" applyFont="1" applyBorder="1" applyAlignment="1">
      <alignment/>
    </xf>
    <xf numFmtId="165" fontId="0" fillId="0" borderId="5" xfId="15" applyNumberFormat="1" applyFont="1" applyBorder="1" applyAlignment="1">
      <alignment/>
    </xf>
    <xf numFmtId="43" fontId="0" fillId="0" borderId="0" xfId="15" applyFont="1" applyAlignment="1">
      <alignment/>
    </xf>
    <xf numFmtId="0" fontId="0" fillId="0" borderId="0" xfId="22" applyFont="1">
      <alignment/>
      <protection/>
    </xf>
    <xf numFmtId="0" fontId="1" fillId="0" borderId="0" xfId="22" applyFont="1" applyAlignment="1">
      <alignment horizontal="center"/>
      <protection/>
    </xf>
    <xf numFmtId="0" fontId="0" fillId="0" borderId="0" xfId="22" applyFont="1" applyAlignment="1">
      <alignment horizontal="center"/>
      <protection/>
    </xf>
    <xf numFmtId="165" fontId="0" fillId="0" borderId="0" xfId="22" applyNumberFormat="1" applyFont="1">
      <alignment/>
      <protection/>
    </xf>
    <xf numFmtId="165" fontId="0" fillId="0" borderId="3" xfId="22" applyNumberFormat="1" applyFont="1" applyBorder="1">
      <alignment/>
      <protection/>
    </xf>
    <xf numFmtId="165" fontId="0" fillId="0" borderId="0" xfId="22" applyNumberFormat="1" applyFont="1" applyBorder="1">
      <alignment/>
      <protection/>
    </xf>
    <xf numFmtId="165" fontId="1" fillId="0" borderId="6" xfId="22" applyNumberFormat="1" applyFont="1" applyBorder="1">
      <alignment/>
      <protection/>
    </xf>
    <xf numFmtId="165" fontId="1" fillId="0" borderId="0" xfId="22" applyNumberFormat="1" applyFont="1">
      <alignment/>
      <protection/>
    </xf>
    <xf numFmtId="0" fontId="1" fillId="0" borderId="0" xfId="22" applyFont="1">
      <alignment/>
      <protection/>
    </xf>
    <xf numFmtId="165" fontId="1" fillId="0" borderId="0" xfId="22" applyNumberFormat="1" applyFont="1" applyBorder="1">
      <alignment/>
      <protection/>
    </xf>
    <xf numFmtId="165" fontId="1" fillId="0" borderId="0" xfId="15" applyNumberFormat="1" applyFont="1" applyBorder="1" applyAlignment="1">
      <alignment/>
    </xf>
    <xf numFmtId="0" fontId="7" fillId="0" borderId="0" xfId="0" applyFont="1" applyAlignment="1">
      <alignment horizontal="centerContinuous"/>
    </xf>
    <xf numFmtId="0" fontId="0" fillId="0" borderId="0" xfId="0" applyFont="1" applyAlignment="1">
      <alignment horizontal="centerContinuous"/>
    </xf>
    <xf numFmtId="0" fontId="7" fillId="0" borderId="0" xfId="0" applyFont="1" applyBorder="1" applyAlignment="1">
      <alignment horizontal="centerContinuous"/>
    </xf>
    <xf numFmtId="0" fontId="8" fillId="0" borderId="0" xfId="0" applyFont="1" applyAlignment="1">
      <alignment horizontal="centerContinuous"/>
    </xf>
    <xf numFmtId="164" fontId="7" fillId="0" borderId="0" xfId="15" applyNumberFormat="1" applyFont="1" applyAlignment="1">
      <alignment/>
    </xf>
    <xf numFmtId="0" fontId="7" fillId="0" borderId="0" xfId="0" applyFont="1" applyAlignment="1">
      <alignment/>
    </xf>
    <xf numFmtId="0" fontId="7" fillId="0" borderId="0" xfId="0" applyFont="1" applyBorder="1" applyAlignment="1">
      <alignment/>
    </xf>
    <xf numFmtId="0" fontId="3" fillId="0" borderId="0" xfId="0" applyFont="1" applyAlignment="1">
      <alignment horizontal="centerContinuous"/>
    </xf>
    <xf numFmtId="0" fontId="8" fillId="0" borderId="0" xfId="0" applyFont="1" applyAlignment="1">
      <alignment horizontal="center"/>
    </xf>
    <xf numFmtId="0" fontId="7" fillId="0" borderId="0" xfId="0" applyFont="1" applyBorder="1" applyAlignment="1">
      <alignment horizontal="center"/>
    </xf>
    <xf numFmtId="0" fontId="9" fillId="0" borderId="0" xfId="0" applyFont="1" applyAlignment="1">
      <alignment horizontal="center"/>
    </xf>
    <xf numFmtId="164" fontId="0" fillId="0" borderId="0" xfId="15" applyNumberFormat="1" applyFont="1" applyAlignment="1">
      <alignment/>
    </xf>
    <xf numFmtId="0" fontId="0" fillId="0" borderId="0" xfId="0" applyFont="1" applyBorder="1" applyAlignment="1">
      <alignment horizontal="center"/>
    </xf>
    <xf numFmtId="0" fontId="10" fillId="0" borderId="0" xfId="0" applyFont="1" applyAlignment="1">
      <alignment horizontal="center"/>
    </xf>
    <xf numFmtId="0" fontId="10" fillId="0" borderId="0" xfId="0" applyFont="1" applyBorder="1" applyAlignment="1">
      <alignment horizontal="center"/>
    </xf>
    <xf numFmtId="164" fontId="1" fillId="0" borderId="0" xfId="15" applyNumberFormat="1" applyFont="1" applyAlignment="1">
      <alignment/>
    </xf>
    <xf numFmtId="0" fontId="1" fillId="0" borderId="0" xfId="0" applyFont="1" applyAlignment="1" quotePrefix="1">
      <alignment horizontal="left"/>
    </xf>
    <xf numFmtId="0" fontId="0" fillId="0" borderId="0" xfId="0" applyFont="1" applyAlignment="1" quotePrefix="1">
      <alignment horizontal="left"/>
    </xf>
    <xf numFmtId="43" fontId="0" fillId="0" borderId="0" xfId="15" applyFont="1" applyBorder="1" applyAlignment="1">
      <alignment/>
    </xf>
    <xf numFmtId="165" fontId="0" fillId="0" borderId="0" xfId="15" applyNumberFormat="1" applyFont="1" applyBorder="1" applyAlignment="1">
      <alignment/>
    </xf>
    <xf numFmtId="43" fontId="0" fillId="0" borderId="0" xfId="15" applyFont="1" applyBorder="1" applyAlignment="1">
      <alignment/>
    </xf>
    <xf numFmtId="43" fontId="0" fillId="0" borderId="0" xfId="15" applyFont="1" applyAlignment="1">
      <alignment/>
    </xf>
    <xf numFmtId="165" fontId="0" fillId="0" borderId="3" xfId="15" applyNumberFormat="1" applyFont="1" applyBorder="1" applyAlignment="1">
      <alignment/>
    </xf>
    <xf numFmtId="0" fontId="0" fillId="0" borderId="3" xfId="0" applyFont="1" applyBorder="1" applyAlignment="1">
      <alignment/>
    </xf>
    <xf numFmtId="43" fontId="0" fillId="0" borderId="3" xfId="15" applyFont="1" applyBorder="1" applyAlignment="1">
      <alignment/>
    </xf>
    <xf numFmtId="43" fontId="0" fillId="0" borderId="3" xfId="15" applyFont="1" applyBorder="1" applyAlignment="1">
      <alignment/>
    </xf>
    <xf numFmtId="0" fontId="0" fillId="0" borderId="0" xfId="0" applyFont="1" applyAlignment="1">
      <alignment horizontal="left"/>
    </xf>
    <xf numFmtId="0" fontId="0" fillId="0" borderId="0" xfId="0" applyFont="1" applyBorder="1" applyAlignment="1">
      <alignment horizontal="centerContinuous"/>
    </xf>
    <xf numFmtId="43" fontId="0" fillId="0" borderId="0" xfId="15" applyFont="1" applyBorder="1" applyAlignment="1">
      <alignment horizontal="centerContinuous"/>
    </xf>
    <xf numFmtId="43" fontId="9" fillId="0" borderId="0" xfId="15" applyFont="1" applyAlignment="1">
      <alignment horizontal="centerContinuous"/>
    </xf>
    <xf numFmtId="0" fontId="9" fillId="0" borderId="0" xfId="0" applyFont="1" applyAlignment="1">
      <alignment horizontal="centerContinuous"/>
    </xf>
    <xf numFmtId="43" fontId="0" fillId="0" borderId="6" xfId="15" applyFont="1" applyBorder="1" applyAlignment="1">
      <alignment/>
    </xf>
    <xf numFmtId="165" fontId="0" fillId="0" borderId="6" xfId="15" applyNumberFormat="1" applyFont="1" applyBorder="1" applyAlignment="1">
      <alignment/>
    </xf>
    <xf numFmtId="165" fontId="0" fillId="0" borderId="0" xfId="15" applyNumberFormat="1" applyFont="1" applyBorder="1" applyAlignment="1">
      <alignment horizontal="centerContinuous"/>
    </xf>
    <xf numFmtId="165" fontId="0" fillId="0" borderId="0" xfId="15" applyNumberFormat="1" applyFont="1" applyAlignment="1">
      <alignment/>
    </xf>
    <xf numFmtId="165" fontId="0" fillId="0" borderId="7" xfId="15" applyNumberFormat="1" applyFont="1" applyBorder="1" applyAlignment="1">
      <alignment/>
    </xf>
    <xf numFmtId="14" fontId="5" fillId="0" borderId="0" xfId="0" applyNumberFormat="1" applyFont="1" applyBorder="1" applyAlignment="1" quotePrefix="1">
      <alignment horizontal="center"/>
    </xf>
    <xf numFmtId="0" fontId="3" fillId="0" borderId="0" xfId="0" applyFont="1" applyAlignment="1">
      <alignment vertical="center"/>
    </xf>
    <xf numFmtId="0" fontId="7" fillId="0" borderId="0" xfId="0" applyFont="1" applyAlignment="1">
      <alignment vertical="center"/>
    </xf>
    <xf numFmtId="0" fontId="3" fillId="0" borderId="0" xfId="0" applyFont="1" applyAlignment="1">
      <alignment horizontal="left" vertical="center"/>
    </xf>
    <xf numFmtId="0" fontId="7" fillId="0" borderId="0" xfId="0" applyFont="1" applyAlignment="1">
      <alignment horizontal="centerContinuous" vertical="center"/>
    </xf>
    <xf numFmtId="0" fontId="7" fillId="0" borderId="0" xfId="0" applyFont="1" applyBorder="1" applyAlignment="1">
      <alignment horizontal="centerContinuous" vertical="center"/>
    </xf>
    <xf numFmtId="0" fontId="8" fillId="0" borderId="0" xfId="0" applyFont="1" applyAlignment="1">
      <alignment horizontal="centerContinuous" vertical="center"/>
    </xf>
    <xf numFmtId="164" fontId="7" fillId="0" borderId="0" xfId="15" applyNumberFormat="1" applyFont="1" applyAlignment="1">
      <alignment vertical="center"/>
    </xf>
    <xf numFmtId="0" fontId="7" fillId="0" borderId="0" xfId="0" applyFont="1" applyBorder="1" applyAlignment="1">
      <alignment vertical="center"/>
    </xf>
    <xf numFmtId="14" fontId="10" fillId="0" borderId="0" xfId="0" applyNumberFormat="1" applyFont="1" applyBorder="1" applyAlignment="1">
      <alignment horizontal="center"/>
    </xf>
    <xf numFmtId="14" fontId="10" fillId="0" borderId="0" xfId="0" applyNumberFormat="1" applyFont="1" applyAlignment="1">
      <alignment horizontal="center"/>
    </xf>
    <xf numFmtId="41" fontId="3" fillId="0" borderId="0" xfId="24" applyFont="1">
      <alignment/>
      <protection/>
    </xf>
    <xf numFmtId="41" fontId="13" fillId="0" borderId="0" xfId="24" applyFont="1">
      <alignment/>
      <protection/>
    </xf>
    <xf numFmtId="41" fontId="13" fillId="0" borderId="0" xfId="24" applyFont="1" applyFill="1">
      <alignment/>
      <protection/>
    </xf>
    <xf numFmtId="41" fontId="3" fillId="0" borderId="0" xfId="24" applyFont="1" applyAlignment="1">
      <alignment horizontal="left"/>
      <protection/>
    </xf>
    <xf numFmtId="41" fontId="7" fillId="0" borderId="0" xfId="24" applyFont="1" applyAlignment="1">
      <alignment horizontal="centerContinuous"/>
      <protection/>
    </xf>
    <xf numFmtId="41" fontId="13" fillId="0" borderId="0" xfId="24" applyFont="1" applyAlignment="1">
      <alignment horizontal="centerContinuous"/>
      <protection/>
    </xf>
    <xf numFmtId="41" fontId="7" fillId="0" borderId="0" xfId="24" applyFont="1" applyBorder="1" applyAlignment="1">
      <alignment horizontal="centerContinuous"/>
      <protection/>
    </xf>
    <xf numFmtId="41" fontId="7" fillId="0" borderId="0" xfId="24" applyFont="1" applyFill="1" applyBorder="1" applyAlignment="1">
      <alignment horizontal="centerContinuous"/>
      <protection/>
    </xf>
    <xf numFmtId="41" fontId="8" fillId="0" borderId="0" xfId="24" applyFont="1" applyAlignment="1">
      <alignment horizontal="centerContinuous"/>
      <protection/>
    </xf>
    <xf numFmtId="164" fontId="7" fillId="0" borderId="0" xfId="17" applyNumberFormat="1" applyFont="1" applyAlignment="1">
      <alignment/>
    </xf>
    <xf numFmtId="41" fontId="7" fillId="0" borderId="0" xfId="24" applyFont="1">
      <alignment/>
      <protection/>
    </xf>
    <xf numFmtId="41" fontId="7" fillId="0" borderId="0" xfId="24" applyFont="1" applyBorder="1">
      <alignment/>
      <protection/>
    </xf>
    <xf numFmtId="41" fontId="3" fillId="0" borderId="0" xfId="24" applyFont="1" applyAlignment="1">
      <alignment horizontal="centerContinuous"/>
      <protection/>
    </xf>
    <xf numFmtId="41" fontId="14" fillId="0" borderId="0" xfId="24" applyFont="1" applyBorder="1">
      <alignment/>
      <protection/>
    </xf>
    <xf numFmtId="41" fontId="14" fillId="0" borderId="0" xfId="24" applyFont="1" applyFill="1" applyBorder="1">
      <alignment/>
      <protection/>
    </xf>
    <xf numFmtId="41" fontId="8" fillId="0" borderId="0" xfId="24" applyFont="1" applyAlignment="1">
      <alignment horizontal="center"/>
      <protection/>
    </xf>
    <xf numFmtId="41" fontId="8" fillId="0" borderId="0" xfId="24" applyFont="1" applyBorder="1" applyAlignment="1">
      <alignment horizontal="center"/>
      <protection/>
    </xf>
    <xf numFmtId="41" fontId="8" fillId="0" borderId="0" xfId="24" applyFont="1" applyFill="1" applyAlignment="1">
      <alignment horizontal="center"/>
      <protection/>
    </xf>
    <xf numFmtId="41" fontId="7" fillId="0" borderId="0" xfId="24" applyFont="1" applyBorder="1" applyAlignment="1">
      <alignment horizontal="center"/>
      <protection/>
    </xf>
    <xf numFmtId="41" fontId="7" fillId="0" borderId="0" xfId="24" applyFont="1" applyFill="1" applyBorder="1">
      <alignment/>
      <protection/>
    </xf>
    <xf numFmtId="41" fontId="3" fillId="0" borderId="0" xfId="24" applyFont="1" applyAlignment="1" quotePrefix="1">
      <alignment horizontal="left"/>
      <protection/>
    </xf>
    <xf numFmtId="41" fontId="7" fillId="0" borderId="0" xfId="24" applyFont="1" applyAlignment="1" quotePrefix="1">
      <alignment horizontal="left"/>
      <protection/>
    </xf>
    <xf numFmtId="165" fontId="7" fillId="0" borderId="0" xfId="17" applyNumberFormat="1" applyFont="1" applyAlignment="1">
      <alignment/>
    </xf>
    <xf numFmtId="165" fontId="7" fillId="0" borderId="0" xfId="17" applyNumberFormat="1" applyFont="1" applyBorder="1" applyAlignment="1">
      <alignment/>
    </xf>
    <xf numFmtId="41" fontId="7" fillId="0" borderId="0" xfId="24" applyFont="1" applyFill="1">
      <alignment/>
      <protection/>
    </xf>
    <xf numFmtId="165" fontId="7" fillId="0" borderId="0" xfId="17" applyNumberFormat="1" applyFont="1" applyFill="1" applyAlignment="1">
      <alignment/>
    </xf>
    <xf numFmtId="165" fontId="7" fillId="0" borderId="0" xfId="17" applyNumberFormat="1" applyFont="1" applyFill="1" applyBorder="1" applyAlignment="1">
      <alignment/>
    </xf>
    <xf numFmtId="164" fontId="7" fillId="0" borderId="0" xfId="17" applyNumberFormat="1" applyFont="1" applyFill="1" applyAlignment="1">
      <alignment/>
    </xf>
    <xf numFmtId="41" fontId="7" fillId="0" borderId="3" xfId="24" applyFont="1" applyBorder="1">
      <alignment/>
      <protection/>
    </xf>
    <xf numFmtId="165" fontId="7" fillId="0" borderId="3" xfId="17" applyNumberFormat="1" applyFont="1" applyBorder="1" applyAlignment="1">
      <alignment/>
    </xf>
    <xf numFmtId="41" fontId="7" fillId="0" borderId="4" xfId="24" applyFont="1" applyFill="1" applyBorder="1">
      <alignment/>
      <protection/>
    </xf>
    <xf numFmtId="41" fontId="7" fillId="0" borderId="4" xfId="24" applyFont="1" applyBorder="1">
      <alignment/>
      <protection/>
    </xf>
    <xf numFmtId="41" fontId="7" fillId="0" borderId="3" xfId="24" applyFont="1" applyFill="1" applyBorder="1">
      <alignment/>
      <protection/>
    </xf>
    <xf numFmtId="165" fontId="7" fillId="0" borderId="3" xfId="17" applyNumberFormat="1" applyFont="1" applyFill="1" applyBorder="1" applyAlignment="1">
      <alignment/>
    </xf>
    <xf numFmtId="41" fontId="7" fillId="0" borderId="0" xfId="24" applyFont="1" applyFill="1" applyAlignment="1">
      <alignment horizontal="left"/>
      <protection/>
    </xf>
    <xf numFmtId="41" fontId="7" fillId="0" borderId="0" xfId="24" applyFont="1" applyAlignment="1">
      <alignment horizontal="left"/>
      <protection/>
    </xf>
    <xf numFmtId="165" fontId="7" fillId="0" borderId="3" xfId="17" applyNumberFormat="1" applyFont="1" applyBorder="1" applyAlignment="1">
      <alignment/>
    </xf>
    <xf numFmtId="165" fontId="7" fillId="0" borderId="0" xfId="17" applyNumberFormat="1" applyFont="1" applyBorder="1" applyAlignment="1">
      <alignment/>
    </xf>
    <xf numFmtId="41" fontId="7" fillId="0" borderId="0" xfId="23" applyFont="1">
      <alignment/>
      <protection/>
    </xf>
    <xf numFmtId="165" fontId="7" fillId="0" borderId="3" xfId="17" applyNumberFormat="1" applyFont="1" applyFill="1" applyBorder="1" applyAlignment="1">
      <alignment/>
    </xf>
    <xf numFmtId="165" fontId="7" fillId="0" borderId="0" xfId="17" applyNumberFormat="1" applyFont="1" applyFill="1" applyBorder="1" applyAlignment="1">
      <alignment/>
    </xf>
    <xf numFmtId="165" fontId="7" fillId="0" borderId="6" xfId="17" applyNumberFormat="1" applyFont="1" applyBorder="1" applyAlignment="1">
      <alignment/>
    </xf>
    <xf numFmtId="165" fontId="7" fillId="0" borderId="6" xfId="17" applyNumberFormat="1" applyFont="1" applyFill="1" applyBorder="1" applyAlignment="1">
      <alignment/>
    </xf>
    <xf numFmtId="165" fontId="7" fillId="0" borderId="5" xfId="17" applyNumberFormat="1" applyFont="1" applyBorder="1" applyAlignment="1">
      <alignment/>
    </xf>
    <xf numFmtId="41" fontId="7" fillId="0" borderId="1" xfId="24" applyFont="1" applyBorder="1">
      <alignment/>
      <protection/>
    </xf>
    <xf numFmtId="165" fontId="7" fillId="0" borderId="7" xfId="17" applyNumberFormat="1" applyFont="1" applyFill="1" applyBorder="1" applyAlignment="1">
      <alignment/>
    </xf>
    <xf numFmtId="165" fontId="7" fillId="0" borderId="7" xfId="17" applyNumberFormat="1" applyFont="1" applyBorder="1" applyAlignment="1">
      <alignment/>
    </xf>
    <xf numFmtId="41" fontId="15" fillId="0" borderId="0" xfId="24" applyFont="1" applyFill="1">
      <alignment/>
      <protection/>
    </xf>
    <xf numFmtId="41" fontId="15" fillId="0" borderId="0" xfId="24" applyFont="1">
      <alignment/>
      <protection/>
    </xf>
    <xf numFmtId="165" fontId="0" fillId="0" borderId="0" xfId="0" applyNumberFormat="1" applyBorder="1" applyAlignment="1">
      <alignment/>
    </xf>
    <xf numFmtId="165" fontId="0" fillId="0" borderId="0" xfId="0" applyNumberFormat="1" applyAlignment="1">
      <alignment/>
    </xf>
    <xf numFmtId="0" fontId="15" fillId="0" borderId="0" xfId="0" applyFont="1" applyAlignment="1">
      <alignment/>
    </xf>
    <xf numFmtId="43" fontId="0" fillId="0" borderId="0" xfId="15" applyNumberFormat="1" applyFont="1" applyFill="1" applyBorder="1" applyAlignment="1">
      <alignment horizontal="center"/>
    </xf>
    <xf numFmtId="43" fontId="0" fillId="0" borderId="0" xfId="15" applyNumberFormat="1" applyFont="1" applyFill="1" applyBorder="1" applyAlignment="1">
      <alignment horizontal="right"/>
    </xf>
    <xf numFmtId="165" fontId="0" fillId="0" borderId="6" xfId="22" applyNumberFormat="1" applyFont="1" applyBorder="1">
      <alignment/>
      <protection/>
    </xf>
    <xf numFmtId="0" fontId="3" fillId="0" borderId="0" xfId="24" applyNumberFormat="1" applyFont="1" applyBorder="1">
      <alignment/>
      <protection/>
    </xf>
    <xf numFmtId="0" fontId="3" fillId="0" borderId="0" xfId="24" applyNumberFormat="1" applyFont="1" applyAlignment="1">
      <alignment horizontal="center"/>
      <protection/>
    </xf>
    <xf numFmtId="14" fontId="3" fillId="0" borderId="0" xfId="24" applyNumberFormat="1" applyFont="1" applyBorder="1" applyAlignment="1">
      <alignment horizontal="center"/>
      <protection/>
    </xf>
    <xf numFmtId="0" fontId="2" fillId="0" borderId="0" xfId="0" applyFont="1" applyBorder="1" applyAlignment="1">
      <alignment/>
    </xf>
    <xf numFmtId="0" fontId="2" fillId="0" borderId="0" xfId="0" applyFont="1" applyAlignment="1">
      <alignment/>
    </xf>
    <xf numFmtId="1" fontId="7" fillId="0" borderId="0" xfId="17" applyNumberFormat="1" applyFont="1" applyFill="1" applyBorder="1" applyAlignment="1">
      <alignment/>
    </xf>
    <xf numFmtId="41" fontId="3" fillId="0" borderId="0" xfId="24" applyFont="1" applyAlignment="1">
      <alignment horizontal="left"/>
      <protection/>
    </xf>
    <xf numFmtId="0" fontId="0" fillId="0" borderId="0" xfId="0" applyBorder="1" applyAlignment="1">
      <alignment horizontal="left" vertical="top" wrapText="1"/>
    </xf>
  </cellXfs>
  <cellStyles count="12">
    <cellStyle name="Normal" xfId="0"/>
    <cellStyle name="Comma" xfId="15"/>
    <cellStyle name="Comma [0]" xfId="16"/>
    <cellStyle name="Comma_cf Q2 2003" xfId="17"/>
    <cellStyle name="Currency" xfId="18"/>
    <cellStyle name="Currency [0]" xfId="19"/>
    <cellStyle name="Followed Hyperlink" xfId="20"/>
    <cellStyle name="Hyperlink" xfId="21"/>
    <cellStyle name="Normal_AC02MPBConso" xfId="22"/>
    <cellStyle name="Normal_Cashflow 310303" xfId="23"/>
    <cellStyle name="Normal_cf Q2 2003"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WINDOWS\TEMP\Master%20consol%20-%20June%2020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WINDOWS\TEMP\Master%20consol%20-%20June%202004%20v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ACCOUNTS\KLSE%20Announcement\2004\2%20q%202004\Analysis\Master%20consol%20-%20June%202004%20v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F Q 1 2004"/>
      <sheetName val="bs-summary"/>
      <sheetName val="bs line-up"/>
      <sheetName val="pl-summary"/>
      <sheetName val="p&amp;l line-up Q2 04"/>
      <sheetName val="p&amp;l line-up Q1 04"/>
      <sheetName val="p&amp;l line-up Q2 04 YTD"/>
      <sheetName val="Interco"/>
      <sheetName val="Consol adj"/>
      <sheetName val="current-p&amp;l"/>
      <sheetName val="current-bs"/>
      <sheetName val="mpb-p&amp;l"/>
      <sheetName val="mpb-bs"/>
      <sheetName val="de-p&amp;l"/>
      <sheetName val="de-bs"/>
      <sheetName val="mpk(m)-p&amp;l"/>
      <sheetName val="mpk(m)-bs"/>
      <sheetName val="mpk-p&amp;l"/>
      <sheetName val="mpk-bs"/>
      <sheetName val="mr-p&amp;l"/>
      <sheetName val="mr-bs"/>
      <sheetName val="mpc-p&amp;l"/>
      <sheetName val="mpc-bs"/>
      <sheetName val="mi-p&amp;l"/>
      <sheetName val="mi-bs"/>
      <sheetName val="co-p&amp;l"/>
      <sheetName val="co-bs"/>
      <sheetName val="mpk(s)-p&amp;l"/>
      <sheetName val="mpk(s)-bs"/>
      <sheetName val="ph-p&amp;l"/>
      <sheetName val="ph-bs "/>
      <sheetName val="ab-p&amp;l"/>
      <sheetName val="ab-bs"/>
      <sheetName val="gbm-p&amp;l"/>
      <sheetName val="segmental"/>
      <sheetName val="gbm-bs"/>
      <sheetName val="gbm-bs @ 1 Jan 04"/>
      <sheetName val="CF workings Q2 04"/>
      <sheetName val="CF Q 2 2004"/>
    </sheetNames>
    <sheetDataSet>
      <sheetData sheetId="3">
        <row r="22">
          <cell r="D22">
            <v>2139.34859</v>
          </cell>
        </row>
        <row r="24">
          <cell r="D24">
            <v>-124.773525</v>
          </cell>
        </row>
        <row r="33">
          <cell r="D33">
            <v>-928.26434</v>
          </cell>
        </row>
        <row r="34">
          <cell r="D34">
            <v>-102.944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F Q 1 2004"/>
      <sheetName val="bs-summary"/>
      <sheetName val="bs line-up"/>
      <sheetName val="pl-summary"/>
      <sheetName val="p&amp;l line-up Q2 04"/>
      <sheetName val="p&amp;l line-up Q1 04"/>
      <sheetName val="p&amp;l line-up Q2 04 YTD"/>
      <sheetName val="Interco"/>
      <sheetName val="Consol adj"/>
      <sheetName val="current-p&amp;l"/>
      <sheetName val="current-bs"/>
      <sheetName val="mpb-p&amp;l"/>
      <sheetName val="mpb-bs"/>
      <sheetName val="de-p&amp;l"/>
      <sheetName val="de-bs"/>
      <sheetName val="mpk(m)-p&amp;l"/>
      <sheetName val="mpk(m)-bs"/>
      <sheetName val="mpk-p&amp;l"/>
      <sheetName val="mpk-bs"/>
      <sheetName val="mr-p&amp;l"/>
      <sheetName val="mr-bs"/>
      <sheetName val="mpc-p&amp;l"/>
      <sheetName val="mpc-bs"/>
      <sheetName val="mi-p&amp;l"/>
      <sheetName val="mi-bs"/>
      <sheetName val="co-p&amp;l"/>
      <sheetName val="co-bs"/>
      <sheetName val="mpk(s)-p&amp;l"/>
      <sheetName val="mpk(s)-bs"/>
      <sheetName val="ph-p&amp;l"/>
      <sheetName val="ph-bs "/>
      <sheetName val="ab-p&amp;l"/>
      <sheetName val="ab-bs"/>
      <sheetName val="gbm-p&amp;l"/>
      <sheetName val="segmental"/>
      <sheetName val="gbm-bs"/>
      <sheetName val="gbm-bs @ 1 Jan 04"/>
      <sheetName val="CF workings Q2 04"/>
      <sheetName val="CF Q 2 2004"/>
    </sheetNames>
    <sheetDataSet>
      <sheetData sheetId="1">
        <row r="9">
          <cell r="D9">
            <v>42340.17899999999</v>
          </cell>
        </row>
        <row r="10">
          <cell r="D10">
            <v>7672.24473</v>
          </cell>
        </row>
        <row r="11">
          <cell r="D11">
            <v>29.994299999999814</v>
          </cell>
        </row>
        <row r="15">
          <cell r="D15">
            <v>3668.9258489899994</v>
          </cell>
        </row>
        <row r="18">
          <cell r="D18">
            <v>-180.228</v>
          </cell>
        </row>
        <row r="28">
          <cell r="D28">
            <v>7984.034129999996</v>
          </cell>
        </row>
        <row r="30">
          <cell r="D30">
            <v>769.849</v>
          </cell>
        </row>
        <row r="34">
          <cell r="D34">
            <v>425</v>
          </cell>
        </row>
        <row r="36">
          <cell r="D36">
            <v>5281.503825</v>
          </cell>
        </row>
        <row r="38">
          <cell r="D38">
            <v>42027.07817</v>
          </cell>
        </row>
        <row r="39">
          <cell r="D39">
            <v>5122.149</v>
          </cell>
        </row>
        <row r="40">
          <cell r="D40">
            <v>10214.21019</v>
          </cell>
        </row>
        <row r="46">
          <cell r="D46">
            <v>1933.27369</v>
          </cell>
        </row>
        <row r="47">
          <cell r="D47">
            <v>3902.3736299999996</v>
          </cell>
        </row>
        <row r="63">
          <cell r="D63">
            <v>7640.441848</v>
          </cell>
        </row>
      </sheetData>
      <sheetData sheetId="3">
        <row r="24">
          <cell r="D24">
            <v>-124.773525</v>
          </cell>
        </row>
        <row r="33">
          <cell r="D33">
            <v>-928.26434</v>
          </cell>
        </row>
      </sheetData>
      <sheetData sheetId="37">
        <row r="9">
          <cell r="AB9">
            <v>2978.178999999989</v>
          </cell>
        </row>
        <row r="10">
          <cell r="AB10">
            <v>1713.2447300000003</v>
          </cell>
        </row>
        <row r="27">
          <cell r="X27">
            <v>769.38122</v>
          </cell>
          <cell r="Z27">
            <v>-359</v>
          </cell>
        </row>
        <row r="28">
          <cell r="X28">
            <v>-380</v>
          </cell>
          <cell r="Z28">
            <v>1533</v>
          </cell>
        </row>
        <row r="30">
          <cell r="Y30">
            <v>2766.151</v>
          </cell>
        </row>
        <row r="38">
          <cell r="Y38">
            <v>-764.0781700000007</v>
          </cell>
        </row>
        <row r="39">
          <cell r="Y39">
            <v>-880.1490000000003</v>
          </cell>
        </row>
        <row r="40">
          <cell r="Y40">
            <v>-3396.21019</v>
          </cell>
        </row>
        <row r="46">
          <cell r="AC46">
            <v>735.72631</v>
          </cell>
        </row>
        <row r="47">
          <cell r="AC47">
            <v>3312.6263700000004</v>
          </cell>
        </row>
        <row r="57">
          <cell r="Y57">
            <v>97.43508200000002</v>
          </cell>
        </row>
        <row r="60">
          <cell r="AB60">
            <v>-1279</v>
          </cell>
        </row>
        <row r="61">
          <cell r="AC61">
            <v>-3690.2896299999993</v>
          </cell>
        </row>
        <row r="63">
          <cell r="Z63">
            <v>-366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F Q 1 2004"/>
      <sheetName val="bs-summary"/>
      <sheetName val="bs line-up"/>
      <sheetName val="bs notes"/>
      <sheetName val="pl-summary"/>
      <sheetName val="p&amp;l line-up Q2 04"/>
      <sheetName val="p&amp;l line-up Q1 04"/>
      <sheetName val="p&amp;l line-up Q2 04 YTD"/>
      <sheetName val="Interco"/>
      <sheetName val="p&amp;l notes"/>
      <sheetName val="Consol adj"/>
      <sheetName val="current-p&amp;l"/>
      <sheetName val="current-bs"/>
      <sheetName val="mpb-p&amp;l"/>
      <sheetName val="mpb-bs"/>
      <sheetName val="de-p&amp;l"/>
      <sheetName val="de-bs"/>
      <sheetName val="mpk(m)-p&amp;l"/>
      <sheetName val="mpk(m)-bs"/>
      <sheetName val="mpk-p&amp;l"/>
      <sheetName val="mpk-bs"/>
      <sheetName val="mr-p&amp;l"/>
      <sheetName val="mr-bs"/>
      <sheetName val="mpc-p&amp;l"/>
      <sheetName val="mpc-bs"/>
      <sheetName val="mi-p&amp;l"/>
      <sheetName val="mi-bs"/>
      <sheetName val="co-p&amp;l"/>
      <sheetName val="co-bs"/>
      <sheetName val="mpk(s)-p&amp;l"/>
      <sheetName val="mpk(s)-bs"/>
      <sheetName val="ph-p&amp;l"/>
      <sheetName val="ph-bs "/>
      <sheetName val="ab-p&amp;l"/>
      <sheetName val="ab-bs"/>
      <sheetName val="gbm-p&amp;l"/>
      <sheetName val="segmental"/>
      <sheetName val="gbm-bs"/>
      <sheetName val="gbm-bs @ 1 Jan 04"/>
      <sheetName val="CF workings Q2 04"/>
      <sheetName val="CF Q 2 2004"/>
    </sheetNames>
    <sheetDataSet>
      <sheetData sheetId="1">
        <row r="41">
          <cell r="D41">
            <v>26478.58278</v>
          </cell>
        </row>
        <row r="42">
          <cell r="D42">
            <v>16802.7531</v>
          </cell>
        </row>
      </sheetData>
      <sheetData sheetId="40">
        <row r="32">
          <cell r="I32">
            <v>-7450.272519999997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N48"/>
  <sheetViews>
    <sheetView workbookViewId="0" topLeftCell="A29">
      <selection activeCell="H47" sqref="H47"/>
    </sheetView>
  </sheetViews>
  <sheetFormatPr defaultColWidth="9.140625" defaultRowHeight="12.75"/>
  <cols>
    <col min="1" max="1" width="29.7109375" style="0" customWidth="1"/>
    <col min="2" max="2" width="13.421875" style="0" bestFit="1" customWidth="1"/>
    <col min="3" max="3" width="1.1484375" style="15" customWidth="1"/>
    <col min="4" max="4" width="15.8515625" style="0" customWidth="1"/>
    <col min="5" max="5" width="1.1484375" style="15" customWidth="1"/>
    <col min="6" max="6" width="13.28125" style="0" customWidth="1"/>
    <col min="7" max="7" width="1.1484375" style="15" customWidth="1"/>
    <col min="8" max="8" width="16.00390625" style="0" customWidth="1"/>
  </cols>
  <sheetData>
    <row r="1" spans="1:7" s="2" customFormat="1" ht="15.75">
      <c r="A1" s="138" t="s">
        <v>9</v>
      </c>
      <c r="C1" s="16"/>
      <c r="E1" s="16"/>
      <c r="G1" s="16"/>
    </row>
    <row r="2" spans="3:7" s="2" customFormat="1" ht="15.75">
      <c r="C2" s="16"/>
      <c r="E2" s="16"/>
      <c r="G2" s="16"/>
    </row>
    <row r="3" spans="1:7" s="2" customFormat="1" ht="15.75">
      <c r="A3" s="138" t="s">
        <v>73</v>
      </c>
      <c r="C3" s="16"/>
      <c r="E3" s="16"/>
      <c r="G3" s="16"/>
    </row>
    <row r="4" spans="1:7" s="2" customFormat="1" ht="15.75">
      <c r="A4" s="138" t="s">
        <v>130</v>
      </c>
      <c r="C4" s="16"/>
      <c r="E4" s="16"/>
      <c r="G4" s="16"/>
    </row>
    <row r="7" spans="2:8" s="7" customFormat="1" ht="12.75">
      <c r="B7" s="8">
        <v>2004</v>
      </c>
      <c r="C7" s="8"/>
      <c r="D7" s="8">
        <v>2003</v>
      </c>
      <c r="E7" s="8"/>
      <c r="F7" s="8">
        <v>2004</v>
      </c>
      <c r="G7" s="8"/>
      <c r="H7" s="8">
        <v>2003</v>
      </c>
    </row>
    <row r="8" spans="2:8" s="9" customFormat="1" ht="12">
      <c r="B8" s="17" t="s">
        <v>1</v>
      </c>
      <c r="C8" s="17"/>
      <c r="D8" s="17" t="s">
        <v>2</v>
      </c>
      <c r="E8" s="17"/>
      <c r="F8" s="17" t="s">
        <v>1</v>
      </c>
      <c r="G8" s="17"/>
      <c r="H8" s="17" t="s">
        <v>2</v>
      </c>
    </row>
    <row r="9" spans="2:8" s="9" customFormat="1" ht="12">
      <c r="B9" s="17" t="s">
        <v>3</v>
      </c>
      <c r="C9" s="17"/>
      <c r="D9" s="17" t="s">
        <v>4</v>
      </c>
      <c r="E9" s="17"/>
      <c r="F9" s="17" t="s">
        <v>5</v>
      </c>
      <c r="G9" s="17"/>
      <c r="H9" s="17" t="s">
        <v>4</v>
      </c>
    </row>
    <row r="10" spans="2:8" s="9" customFormat="1" ht="12">
      <c r="B10" s="17"/>
      <c r="C10" s="17"/>
      <c r="D10" s="17" t="s">
        <v>3</v>
      </c>
      <c r="E10" s="17"/>
      <c r="F10" s="17"/>
      <c r="G10" s="17"/>
      <c r="H10" s="17" t="s">
        <v>6</v>
      </c>
    </row>
    <row r="11" spans="2:8" s="9" customFormat="1" ht="12">
      <c r="B11" s="17"/>
      <c r="C11" s="17"/>
      <c r="D11" s="17"/>
      <c r="E11" s="17"/>
      <c r="F11" s="17"/>
      <c r="G11" s="17"/>
      <c r="H11" s="17"/>
    </row>
    <row r="12" spans="2:8" s="9" customFormat="1" ht="12">
      <c r="B12" s="76" t="s">
        <v>129</v>
      </c>
      <c r="C12" s="18"/>
      <c r="D12" s="76" t="s">
        <v>128</v>
      </c>
      <c r="E12" s="18"/>
      <c r="F12" s="76" t="s">
        <v>129</v>
      </c>
      <c r="G12" s="18"/>
      <c r="H12" s="76" t="s">
        <v>128</v>
      </c>
    </row>
    <row r="13" spans="2:8" s="9" customFormat="1" ht="12">
      <c r="B13" s="17" t="s">
        <v>53</v>
      </c>
      <c r="C13" s="17"/>
      <c r="D13" s="17" t="s">
        <v>53</v>
      </c>
      <c r="E13" s="17"/>
      <c r="F13" s="17" t="s">
        <v>53</v>
      </c>
      <c r="G13" s="17"/>
      <c r="H13" s="17" t="s">
        <v>53</v>
      </c>
    </row>
    <row r="14" s="9" customFormat="1" ht="12"/>
    <row r="15" spans="1:8" s="12" customFormat="1" ht="12.75">
      <c r="A15" s="10" t="s">
        <v>7</v>
      </c>
      <c r="B15" s="11">
        <v>11966</v>
      </c>
      <c r="C15" s="11"/>
      <c r="D15" s="11">
        <v>42810</v>
      </c>
      <c r="E15" s="11"/>
      <c r="F15" s="11">
        <v>52044</v>
      </c>
      <c r="G15" s="11"/>
      <c r="H15" s="11">
        <v>71265</v>
      </c>
    </row>
    <row r="16" spans="1:8" s="12" customFormat="1" ht="12.75">
      <c r="A16" s="10"/>
      <c r="B16" s="11"/>
      <c r="C16" s="11"/>
      <c r="D16" s="11"/>
      <c r="E16" s="11"/>
      <c r="F16" s="11"/>
      <c r="G16" s="11"/>
      <c r="H16" s="11"/>
    </row>
    <row r="17" spans="1:8" s="12" customFormat="1" ht="12.75">
      <c r="A17" s="10" t="s">
        <v>33</v>
      </c>
      <c r="B17" s="25">
        <v>-8843</v>
      </c>
      <c r="C17" s="11"/>
      <c r="D17" s="25">
        <f>-40435</f>
        <v>-40435</v>
      </c>
      <c r="E17" s="11"/>
      <c r="F17" s="25">
        <f>-46113-80</f>
        <v>-46193</v>
      </c>
      <c r="G17" s="11"/>
      <c r="H17" s="25">
        <f>-67539</f>
        <v>-67539</v>
      </c>
    </row>
    <row r="18" spans="1:8" s="12" customFormat="1" ht="12.75">
      <c r="A18" s="10"/>
      <c r="B18" s="11"/>
      <c r="C18" s="11"/>
      <c r="D18" s="11"/>
      <c r="E18" s="11"/>
      <c r="F18" s="11"/>
      <c r="G18" s="11"/>
      <c r="H18" s="11"/>
    </row>
    <row r="19" spans="1:8" s="12" customFormat="1" ht="12.75">
      <c r="A19" s="10" t="s">
        <v>74</v>
      </c>
      <c r="B19" s="11">
        <f>SUM(B14:B18)</f>
        <v>3123</v>
      </c>
      <c r="C19" s="11"/>
      <c r="D19" s="11">
        <f>SUM(D14:D18)</f>
        <v>2375</v>
      </c>
      <c r="E19" s="11"/>
      <c r="F19" s="11">
        <f>SUM(F14:F18)</f>
        <v>5851</v>
      </c>
      <c r="G19" s="11"/>
      <c r="H19" s="11">
        <f>SUM(H14:H18)</f>
        <v>3726</v>
      </c>
    </row>
    <row r="20" spans="1:8" s="12" customFormat="1" ht="12.75">
      <c r="A20" s="10"/>
      <c r="B20" s="11"/>
      <c r="C20" s="11"/>
      <c r="D20" s="11"/>
      <c r="E20" s="11"/>
      <c r="F20" s="11"/>
      <c r="G20" s="11"/>
      <c r="H20" s="11"/>
    </row>
    <row r="21" spans="1:8" s="12" customFormat="1" ht="12.75">
      <c r="A21" s="10" t="s">
        <v>34</v>
      </c>
      <c r="B21" s="11">
        <v>1018</v>
      </c>
      <c r="C21" s="11"/>
      <c r="D21" s="11">
        <v>618</v>
      </c>
      <c r="E21" s="11"/>
      <c r="F21" s="11">
        <f>'[1]pl-summary'!$D$22</f>
        <v>2139.34859</v>
      </c>
      <c r="G21" s="11"/>
      <c r="H21" s="11">
        <v>1128</v>
      </c>
    </row>
    <row r="22" spans="1:8" s="12" customFormat="1" ht="12.75">
      <c r="A22" s="10" t="s">
        <v>54</v>
      </c>
      <c r="B22" s="11">
        <f>-320-65-59-2095-10</f>
        <v>-2549</v>
      </c>
      <c r="C22" s="11"/>
      <c r="D22" s="11">
        <f>-1051</f>
        <v>-1051</v>
      </c>
      <c r="E22" s="11"/>
      <c r="F22" s="11">
        <f>-689-125-118-4328-13+1</f>
        <v>-5272</v>
      </c>
      <c r="G22" s="11"/>
      <c r="H22" s="11">
        <f>-1956</f>
        <v>-1956</v>
      </c>
    </row>
    <row r="23" spans="1:8" s="12" customFormat="1" ht="12.75">
      <c r="A23" s="10"/>
      <c r="B23" s="25"/>
      <c r="C23" s="11"/>
      <c r="D23" s="25"/>
      <c r="E23" s="11"/>
      <c r="F23" s="25"/>
      <c r="G23" s="11"/>
      <c r="H23" s="25"/>
    </row>
    <row r="24" spans="1:8" s="12" customFormat="1" ht="12.75">
      <c r="A24" s="10"/>
      <c r="B24" s="11"/>
      <c r="C24" s="11"/>
      <c r="D24" s="11"/>
      <c r="E24" s="11"/>
      <c r="F24" s="11"/>
      <c r="G24" s="11"/>
      <c r="H24" s="11"/>
    </row>
    <row r="25" spans="1:14" s="12" customFormat="1" ht="12.75" customHeight="1">
      <c r="A25" s="10" t="s">
        <v>75</v>
      </c>
      <c r="B25" s="13">
        <f>SUM(B19:B24)</f>
        <v>1592</v>
      </c>
      <c r="C25" s="13"/>
      <c r="D25" s="13">
        <f>SUM(D19:D24)</f>
        <v>1942</v>
      </c>
      <c r="E25" s="13"/>
      <c r="F25" s="13">
        <f>SUM(F19:F24)</f>
        <v>2718.3485899999996</v>
      </c>
      <c r="G25" s="13"/>
      <c r="H25" s="13">
        <f>SUM(H19:H24)</f>
        <v>2898</v>
      </c>
      <c r="I25" s="14"/>
      <c r="K25" s="14"/>
      <c r="L25" s="14"/>
      <c r="M25" s="14"/>
      <c r="N25" s="14"/>
    </row>
    <row r="26" spans="1:8" s="12" customFormat="1" ht="12.75">
      <c r="A26" s="10"/>
      <c r="B26" s="11"/>
      <c r="C26" s="11"/>
      <c r="D26" s="11"/>
      <c r="E26" s="11"/>
      <c r="F26" s="11"/>
      <c r="G26" s="11"/>
      <c r="H26" s="11"/>
    </row>
    <row r="27" spans="1:8" s="12" customFormat="1" ht="12.75">
      <c r="A27" s="10" t="s">
        <v>35</v>
      </c>
      <c r="B27" s="11">
        <f>F27--507</f>
        <v>-421.26433999999995</v>
      </c>
      <c r="C27" s="11"/>
      <c r="D27" s="11">
        <f>-1213</f>
        <v>-1213</v>
      </c>
      <c r="E27" s="11"/>
      <c r="F27" s="11">
        <f>'[1]pl-summary'!$D$33</f>
        <v>-928.26434</v>
      </c>
      <c r="G27" s="11"/>
      <c r="H27" s="11">
        <f>-2285</f>
        <v>-2285</v>
      </c>
    </row>
    <row r="28" spans="1:8" s="12" customFormat="1" ht="12.75">
      <c r="A28" s="10"/>
      <c r="B28" s="11"/>
      <c r="C28" s="11"/>
      <c r="D28" s="11"/>
      <c r="E28" s="11"/>
      <c r="F28" s="11"/>
      <c r="G28" s="11"/>
      <c r="H28" s="11"/>
    </row>
    <row r="29" spans="1:8" s="12" customFormat="1" ht="25.5">
      <c r="A29" s="10" t="s">
        <v>38</v>
      </c>
      <c r="B29" s="25">
        <f>F29--59</f>
        <v>-43.944</v>
      </c>
      <c r="C29" s="11"/>
      <c r="D29" s="25">
        <f>-205</f>
        <v>-205</v>
      </c>
      <c r="E29" s="11"/>
      <c r="F29" s="25">
        <f>'[1]pl-summary'!$D$34</f>
        <v>-102.944</v>
      </c>
      <c r="G29" s="11"/>
      <c r="H29" s="25">
        <v>-205</v>
      </c>
    </row>
    <row r="30" spans="1:8" s="12" customFormat="1" ht="12.75">
      <c r="A30" s="10"/>
      <c r="B30" s="11"/>
      <c r="C30" s="11"/>
      <c r="D30" s="11"/>
      <c r="E30" s="11"/>
      <c r="F30" s="11"/>
      <c r="G30" s="11"/>
      <c r="H30" s="11"/>
    </row>
    <row r="31" spans="1:8" s="12" customFormat="1" ht="12.75">
      <c r="A31" s="10" t="s">
        <v>121</v>
      </c>
      <c r="B31" s="11">
        <f>SUM(B25:B29)</f>
        <v>1126.79166</v>
      </c>
      <c r="C31" s="11"/>
      <c r="D31" s="11">
        <f>SUM(D25:D29)</f>
        <v>524</v>
      </c>
      <c r="E31" s="11"/>
      <c r="F31" s="11">
        <f>SUM(F25:F29)</f>
        <v>1687.1402499999997</v>
      </c>
      <c r="G31" s="11"/>
      <c r="H31" s="11">
        <f>SUM(H25:H29)</f>
        <v>408</v>
      </c>
    </row>
    <row r="32" spans="1:8" s="12" customFormat="1" ht="12.75">
      <c r="A32" s="10"/>
      <c r="B32" s="11"/>
      <c r="C32" s="11"/>
      <c r="D32" s="11"/>
      <c r="E32" s="11"/>
      <c r="F32" s="11"/>
      <c r="G32" s="11"/>
      <c r="H32" s="11"/>
    </row>
    <row r="33" spans="1:8" s="12" customFormat="1" ht="12.75">
      <c r="A33" s="10" t="s">
        <v>36</v>
      </c>
      <c r="B33" s="25">
        <f>-289</f>
        <v>-289</v>
      </c>
      <c r="C33" s="11"/>
      <c r="D33" s="25">
        <f>-226</f>
        <v>-226</v>
      </c>
      <c r="E33" s="11"/>
      <c r="F33" s="25">
        <f>-490</f>
        <v>-490</v>
      </c>
      <c r="G33" s="11"/>
      <c r="H33" s="25">
        <f>-455</f>
        <v>-455</v>
      </c>
    </row>
    <row r="34" spans="1:8" s="12" customFormat="1" ht="12.75">
      <c r="A34" s="10"/>
      <c r="B34" s="11"/>
      <c r="C34" s="11"/>
      <c r="D34" s="11"/>
      <c r="E34" s="11"/>
      <c r="F34" s="11"/>
      <c r="G34" s="11"/>
      <c r="H34" s="11"/>
    </row>
    <row r="35" spans="1:8" s="12" customFormat="1" ht="12.75">
      <c r="A35" s="10" t="s">
        <v>122</v>
      </c>
      <c r="B35" s="11">
        <f>SUM(B31:B34)</f>
        <v>837.7916600000001</v>
      </c>
      <c r="C35" s="11"/>
      <c r="D35" s="11">
        <f>SUM(D31:D34)</f>
        <v>298</v>
      </c>
      <c r="E35" s="11"/>
      <c r="F35" s="11">
        <f>SUM(F31:F34)</f>
        <v>1197.1402499999997</v>
      </c>
      <c r="G35" s="11"/>
      <c r="H35" s="11">
        <f>SUM(H31:H34)</f>
        <v>-47</v>
      </c>
    </row>
    <row r="36" spans="1:8" s="12" customFormat="1" ht="12.75">
      <c r="A36" s="10"/>
      <c r="B36" s="11"/>
      <c r="C36" s="11"/>
      <c r="D36" s="11"/>
      <c r="E36" s="11"/>
      <c r="F36" s="11"/>
      <c r="G36" s="11"/>
      <c r="H36" s="11"/>
    </row>
    <row r="37" spans="1:8" s="12" customFormat="1" ht="12.75">
      <c r="A37" s="10" t="s">
        <v>37</v>
      </c>
      <c r="B37" s="25">
        <f>-707</f>
        <v>-707</v>
      </c>
      <c r="C37" s="11"/>
      <c r="D37" s="25">
        <f>-54</f>
        <v>-54</v>
      </c>
      <c r="E37" s="11"/>
      <c r="F37" s="25">
        <f>-941</f>
        <v>-941</v>
      </c>
      <c r="G37" s="11"/>
      <c r="H37" s="25">
        <f>-109</f>
        <v>-109</v>
      </c>
    </row>
    <row r="38" spans="1:8" s="12" customFormat="1" ht="12.75">
      <c r="A38" s="10"/>
      <c r="B38" s="26"/>
      <c r="C38" s="11"/>
      <c r="D38" s="26"/>
      <c r="E38" s="11"/>
      <c r="F38" s="26"/>
      <c r="G38" s="11"/>
      <c r="H38" s="26"/>
    </row>
    <row r="39" spans="1:8" s="12" customFormat="1" ht="13.5" thickBot="1">
      <c r="A39" s="10" t="s">
        <v>120</v>
      </c>
      <c r="B39" s="27">
        <f>SUM(B35:B38)</f>
        <v>130.7916600000001</v>
      </c>
      <c r="C39" s="11"/>
      <c r="D39" s="27">
        <f>SUM(D35:D38)</f>
        <v>244</v>
      </c>
      <c r="E39" s="11"/>
      <c r="F39" s="27">
        <f>SUM(F35:F38)</f>
        <v>256.1402499999997</v>
      </c>
      <c r="G39" s="11"/>
      <c r="H39" s="27">
        <f>SUM(H35:H38)</f>
        <v>-156</v>
      </c>
    </row>
    <row r="40" spans="1:8" s="12" customFormat="1" ht="13.5" thickTop="1">
      <c r="A40" s="10"/>
      <c r="B40" s="11"/>
      <c r="C40" s="11"/>
      <c r="D40" s="11"/>
      <c r="E40" s="11"/>
      <c r="F40" s="11"/>
      <c r="G40" s="11"/>
      <c r="H40" s="11"/>
    </row>
    <row r="41" spans="1:8" s="12" customFormat="1" ht="12.75" customHeight="1">
      <c r="A41" s="10" t="s">
        <v>116</v>
      </c>
      <c r="B41" s="11"/>
      <c r="C41" s="11"/>
      <c r="D41" s="11"/>
      <c r="E41" s="11"/>
      <c r="F41" s="11"/>
      <c r="G41" s="11"/>
      <c r="H41" s="11"/>
    </row>
    <row r="42" spans="1:8" s="12" customFormat="1" ht="12.75">
      <c r="A42" s="10" t="s">
        <v>57</v>
      </c>
      <c r="B42" s="139">
        <f>+(B39/42340)*100</f>
        <v>0.30890803023145985</v>
      </c>
      <c r="C42" s="139"/>
      <c r="D42" s="139">
        <f>+(D39/33300)*100</f>
        <v>0.7327327327327328</v>
      </c>
      <c r="E42" s="139"/>
      <c r="F42" s="139">
        <f>+(F39/42340)*100</f>
        <v>0.6049604393008967</v>
      </c>
      <c r="G42" s="139"/>
      <c r="H42" s="139">
        <f>+(H39/33300)*100</f>
        <v>-0.46846846846846846</v>
      </c>
    </row>
    <row r="43" spans="1:8" s="12" customFormat="1" ht="12.75">
      <c r="A43" s="10" t="s">
        <v>58</v>
      </c>
      <c r="B43" s="140">
        <v>0.3</v>
      </c>
      <c r="C43" s="140"/>
      <c r="D43" s="140" t="s">
        <v>59</v>
      </c>
      <c r="E43" s="140"/>
      <c r="F43" s="140">
        <v>0.59</v>
      </c>
      <c r="G43" s="140"/>
      <c r="H43" s="140" t="s">
        <v>59</v>
      </c>
    </row>
    <row r="44" spans="1:8" s="12" customFormat="1" ht="12.75">
      <c r="A44" s="10"/>
      <c r="B44" s="140"/>
      <c r="C44" s="140"/>
      <c r="D44" s="140"/>
      <c r="E44" s="140"/>
      <c r="F44" s="140"/>
      <c r="G44" s="140"/>
      <c r="H44" s="140"/>
    </row>
    <row r="45" s="15" customFormat="1" ht="12.75"/>
    <row r="46" s="15" customFormat="1" ht="12.75">
      <c r="A46" s="145" t="s">
        <v>112</v>
      </c>
    </row>
    <row r="47" s="15" customFormat="1" ht="12.75">
      <c r="A47" s="145" t="s">
        <v>163</v>
      </c>
    </row>
    <row r="48" s="15" customFormat="1" ht="12.75">
      <c r="A48" s="15" t="s">
        <v>164</v>
      </c>
    </row>
    <row r="49" s="15" customFormat="1" ht="12.75"/>
    <row r="50" s="15" customFormat="1" ht="12.75"/>
    <row r="51" s="15" customFormat="1" ht="12.75"/>
    <row r="52" s="15" customFormat="1" ht="12.75"/>
    <row r="53" s="15" customFormat="1" ht="12.75"/>
    <row r="54" s="15" customFormat="1" ht="12.75"/>
    <row r="55" s="15" customFormat="1" ht="12.75"/>
    <row r="56" s="15" customFormat="1" ht="12.75"/>
    <row r="57" s="15" customFormat="1" ht="12.75"/>
    <row r="58" s="15" customFormat="1" ht="12.75"/>
    <row r="59" s="15" customFormat="1" ht="12.75"/>
    <row r="60" s="15" customFormat="1" ht="12.75"/>
    <row r="61" s="15" customFormat="1" ht="12.75"/>
    <row r="62" s="15" customFormat="1" ht="12.75"/>
    <row r="63" s="15" customFormat="1" ht="12.75"/>
  </sheetData>
  <printOptions horizontalCentered="1"/>
  <pageMargins left="0.6" right="0.26" top="1" bottom="1" header="0.5" footer="0.5"/>
  <pageSetup firstPageNumber="1" useFirstPageNumber="1" horizontalDpi="300" verticalDpi="300" orientation="portrait" paperSize="9" r:id="rId1"/>
  <headerFooter alignWithMargins="0">
    <oddHeader>&amp;R1</oddHeader>
  </headerFooter>
</worksheet>
</file>

<file path=xl/worksheets/sheet2.xml><?xml version="1.0" encoding="utf-8"?>
<worksheet xmlns="http://schemas.openxmlformats.org/spreadsheetml/2006/main" xmlns:r="http://schemas.openxmlformats.org/officeDocument/2006/relationships">
  <dimension ref="A1:AH94"/>
  <sheetViews>
    <sheetView zoomScale="75" zoomScaleNormal="75" workbookViewId="0" topLeftCell="A1">
      <selection activeCell="C24" sqref="C24"/>
    </sheetView>
  </sheetViews>
  <sheetFormatPr defaultColWidth="9.140625" defaultRowHeight="12.75"/>
  <cols>
    <col min="1" max="1" width="2.140625" style="88" customWidth="1"/>
    <col min="2" max="2" width="2.28125" style="88" customWidth="1"/>
    <col min="3" max="6" width="5.7109375" style="88" customWidth="1"/>
    <col min="7" max="7" width="7.00390625" style="88" customWidth="1"/>
    <col min="8" max="9" width="9.00390625" style="88" customWidth="1"/>
    <col min="10" max="10" width="2.7109375" style="88" customWidth="1"/>
    <col min="11" max="11" width="9.00390625" style="88" customWidth="1"/>
    <col min="12" max="12" width="2.57421875" style="88" customWidth="1"/>
    <col min="13" max="13" width="8.00390625" style="89" hidden="1" customWidth="1"/>
    <col min="14" max="14" width="2.7109375" style="88" customWidth="1"/>
    <col min="15" max="15" width="8.421875" style="88" hidden="1" customWidth="1"/>
    <col min="16" max="16" width="5.7109375" style="88" hidden="1" customWidth="1"/>
    <col min="17" max="17" width="8.140625" style="88" hidden="1" customWidth="1"/>
    <col min="18" max="18" width="5.7109375" style="88" customWidth="1"/>
    <col min="19" max="19" width="8.421875" style="88" hidden="1" customWidth="1"/>
    <col min="20" max="20" width="0" style="88" hidden="1" customWidth="1"/>
    <col min="21" max="21" width="6.140625" style="88" hidden="1" customWidth="1"/>
    <col min="22" max="22" width="0" style="88" hidden="1" customWidth="1"/>
    <col min="23" max="23" width="6.00390625" style="88" hidden="1" customWidth="1"/>
    <col min="24" max="16384" width="5.7109375" style="88" customWidth="1"/>
  </cols>
  <sheetData>
    <row r="1" ht="15.75">
      <c r="A1" s="87" t="s">
        <v>9</v>
      </c>
    </row>
    <row r="2" spans="1:34" s="97" customFormat="1" ht="16.5" customHeight="1">
      <c r="A2" s="148" t="s">
        <v>132</v>
      </c>
      <c r="B2" s="148"/>
      <c r="C2" s="148"/>
      <c r="D2" s="148"/>
      <c r="E2" s="148"/>
      <c r="F2" s="148"/>
      <c r="G2" s="148"/>
      <c r="H2" s="93"/>
      <c r="I2" s="93"/>
      <c r="J2" s="93"/>
      <c r="K2" s="93"/>
      <c r="L2" s="93"/>
      <c r="M2" s="94"/>
      <c r="N2" s="93"/>
      <c r="O2" s="95"/>
      <c r="P2" s="93"/>
      <c r="Q2" s="93"/>
      <c r="R2" s="93"/>
      <c r="S2" s="95"/>
      <c r="T2" s="93"/>
      <c r="U2" s="93"/>
      <c r="V2" s="96"/>
      <c r="X2" s="98"/>
      <c r="Y2" s="98"/>
      <c r="Z2" s="98"/>
      <c r="AA2" s="98"/>
      <c r="AB2" s="98"/>
      <c r="AC2" s="98"/>
      <c r="AD2" s="98"/>
      <c r="AE2" s="98"/>
      <c r="AF2" s="98"/>
      <c r="AG2" s="98"/>
      <c r="AH2" s="98"/>
    </row>
    <row r="3" spans="1:34" s="97" customFormat="1" ht="16.5" customHeight="1">
      <c r="A3" s="90" t="s">
        <v>130</v>
      </c>
      <c r="B3" s="91"/>
      <c r="C3" s="91"/>
      <c r="D3" s="91"/>
      <c r="E3" s="92"/>
      <c r="F3" s="93"/>
      <c r="G3" s="91"/>
      <c r="H3" s="93"/>
      <c r="I3" s="93"/>
      <c r="J3" s="93"/>
      <c r="K3" s="93"/>
      <c r="L3" s="93"/>
      <c r="M3" s="94"/>
      <c r="N3" s="93"/>
      <c r="O3" s="95"/>
      <c r="P3" s="93"/>
      <c r="Q3" s="93"/>
      <c r="R3" s="93"/>
      <c r="S3" s="95"/>
      <c r="T3" s="93"/>
      <c r="U3" s="93"/>
      <c r="V3" s="96"/>
      <c r="X3" s="98"/>
      <c r="Y3" s="98"/>
      <c r="Z3" s="98"/>
      <c r="AA3" s="98"/>
      <c r="AB3" s="98"/>
      <c r="AC3" s="98"/>
      <c r="AD3" s="98"/>
      <c r="AE3" s="98"/>
      <c r="AF3" s="98"/>
      <c r="AG3" s="98"/>
      <c r="AH3" s="98"/>
    </row>
    <row r="4" spans="1:34" s="97" customFormat="1" ht="16.5" customHeight="1">
      <c r="A4" s="99"/>
      <c r="B4" s="91"/>
      <c r="C4" s="91"/>
      <c r="D4" s="91"/>
      <c r="E4" s="92"/>
      <c r="F4" s="93"/>
      <c r="G4" s="91"/>
      <c r="H4" s="93"/>
      <c r="I4" s="93"/>
      <c r="J4" s="93"/>
      <c r="K4" s="93"/>
      <c r="L4" s="93"/>
      <c r="M4" s="94"/>
      <c r="N4" s="93"/>
      <c r="O4" s="95"/>
      <c r="P4" s="93"/>
      <c r="Q4" s="93"/>
      <c r="R4" s="93"/>
      <c r="S4" s="95"/>
      <c r="T4" s="93"/>
      <c r="U4" s="93"/>
      <c r="V4" s="96"/>
      <c r="X4" s="98"/>
      <c r="Y4" s="98"/>
      <c r="Z4" s="98"/>
      <c r="AA4" s="98"/>
      <c r="AB4" s="98"/>
      <c r="AC4" s="98"/>
      <c r="AD4" s="98"/>
      <c r="AE4" s="98"/>
      <c r="AF4" s="98"/>
      <c r="AG4" s="98"/>
      <c r="AH4" s="98"/>
    </row>
    <row r="5" spans="1:34" s="97" customFormat="1" ht="16.5" customHeight="1">
      <c r="A5" s="99"/>
      <c r="B5" s="91"/>
      <c r="C5" s="91"/>
      <c r="D5" s="91"/>
      <c r="E5" s="91"/>
      <c r="F5" s="93"/>
      <c r="G5" s="91"/>
      <c r="H5" s="93"/>
      <c r="I5" s="93"/>
      <c r="J5" s="93"/>
      <c r="K5" s="93"/>
      <c r="L5" s="93"/>
      <c r="M5" s="94"/>
      <c r="N5" s="93"/>
      <c r="O5" s="95"/>
      <c r="P5" s="93"/>
      <c r="Q5" s="93"/>
      <c r="R5" s="93"/>
      <c r="S5" s="95"/>
      <c r="T5" s="93"/>
      <c r="V5" s="96"/>
      <c r="X5" s="98"/>
      <c r="Y5" s="98"/>
      <c r="Z5" s="98"/>
      <c r="AA5" s="98"/>
      <c r="AB5" s="98"/>
      <c r="AC5" s="98"/>
      <c r="AD5" s="98"/>
      <c r="AE5" s="98"/>
      <c r="AF5" s="98"/>
      <c r="AG5" s="98"/>
      <c r="AH5" s="98"/>
    </row>
    <row r="6" spans="6:34" s="97" customFormat="1" ht="16.5" customHeight="1">
      <c r="F6" s="98"/>
      <c r="H6" s="98"/>
      <c r="I6" s="100" t="s">
        <v>133</v>
      </c>
      <c r="J6" s="98"/>
      <c r="K6" s="100" t="s">
        <v>134</v>
      </c>
      <c r="L6" s="98"/>
      <c r="M6" s="101" t="s">
        <v>135</v>
      </c>
      <c r="N6" s="100"/>
      <c r="O6" s="102" t="s">
        <v>76</v>
      </c>
      <c r="P6" s="98"/>
      <c r="Q6" s="102" t="s">
        <v>135</v>
      </c>
      <c r="R6" s="98"/>
      <c r="S6" s="102" t="s">
        <v>76</v>
      </c>
      <c r="T6" s="103"/>
      <c r="U6" s="102" t="s">
        <v>105</v>
      </c>
      <c r="V6" s="96"/>
      <c r="X6" s="98"/>
      <c r="Y6" s="98"/>
      <c r="Z6" s="98"/>
      <c r="AA6" s="98"/>
      <c r="AB6" s="98"/>
      <c r="AC6" s="98"/>
      <c r="AD6" s="98"/>
      <c r="AE6" s="98"/>
      <c r="AF6" s="98"/>
      <c r="AG6" s="98"/>
      <c r="AH6" s="98"/>
    </row>
    <row r="7" spans="6:34" s="97" customFormat="1" ht="16.5" customHeight="1">
      <c r="F7" s="98"/>
      <c r="H7" s="98"/>
      <c r="I7" s="102" t="s">
        <v>53</v>
      </c>
      <c r="J7" s="98"/>
      <c r="K7" s="102" t="s">
        <v>53</v>
      </c>
      <c r="L7" s="98"/>
      <c r="M7" s="104" t="s">
        <v>53</v>
      </c>
      <c r="N7" s="102"/>
      <c r="O7" s="102" t="s">
        <v>53</v>
      </c>
      <c r="P7" s="98"/>
      <c r="Q7" s="102" t="s">
        <v>53</v>
      </c>
      <c r="R7" s="98"/>
      <c r="S7" s="102" t="s">
        <v>32</v>
      </c>
      <c r="T7" s="105"/>
      <c r="U7" s="102" t="s">
        <v>32</v>
      </c>
      <c r="V7" s="96"/>
      <c r="X7" s="98"/>
      <c r="Y7" s="98"/>
      <c r="Z7" s="98"/>
      <c r="AA7" s="98"/>
      <c r="AB7" s="98"/>
      <c r="AC7" s="98"/>
      <c r="AD7" s="98"/>
      <c r="AE7" s="98"/>
      <c r="AF7" s="98"/>
      <c r="AG7" s="98"/>
      <c r="AH7" s="98"/>
    </row>
    <row r="8" spans="6:34" s="97" customFormat="1" ht="15">
      <c r="F8" s="98"/>
      <c r="H8" s="98"/>
      <c r="I8" s="98"/>
      <c r="J8" s="98"/>
      <c r="K8" s="98"/>
      <c r="L8" s="98"/>
      <c r="M8" s="106"/>
      <c r="N8" s="98"/>
      <c r="O8" s="102"/>
      <c r="P8" s="98"/>
      <c r="Q8" s="98"/>
      <c r="R8" s="98"/>
      <c r="S8" s="102"/>
      <c r="T8" s="105"/>
      <c r="U8" s="105"/>
      <c r="V8" s="96"/>
      <c r="X8" s="98"/>
      <c r="Y8" s="98"/>
      <c r="Z8" s="98"/>
      <c r="AA8" s="98"/>
      <c r="AB8" s="98"/>
      <c r="AC8" s="98"/>
      <c r="AD8" s="98"/>
      <c r="AE8" s="98"/>
      <c r="AF8" s="98"/>
      <c r="AG8" s="98"/>
      <c r="AH8" s="98"/>
    </row>
    <row r="9" spans="1:34" s="97" customFormat="1" ht="16.5" customHeight="1">
      <c r="A9" s="107" t="s">
        <v>77</v>
      </c>
      <c r="B9" s="87"/>
      <c r="F9" s="98"/>
      <c r="H9" s="98"/>
      <c r="I9" s="98"/>
      <c r="J9" s="98"/>
      <c r="K9" s="98"/>
      <c r="L9" s="98"/>
      <c r="M9" s="106"/>
      <c r="N9" s="98"/>
      <c r="O9" s="102"/>
      <c r="P9" s="98"/>
      <c r="Q9" s="98"/>
      <c r="R9" s="98"/>
      <c r="S9" s="102"/>
      <c r="T9" s="105"/>
      <c r="U9" s="105"/>
      <c r="V9" s="96"/>
      <c r="X9" s="98"/>
      <c r="Y9" s="98"/>
      <c r="Z9" s="98"/>
      <c r="AA9" s="98"/>
      <c r="AB9" s="98"/>
      <c r="AC9" s="98"/>
      <c r="AD9" s="98"/>
      <c r="AE9" s="98"/>
      <c r="AF9" s="98"/>
      <c r="AG9" s="98"/>
      <c r="AH9" s="98"/>
    </row>
    <row r="10" spans="2:34" s="97" customFormat="1" ht="16.5" customHeight="1">
      <c r="B10" s="108" t="s">
        <v>136</v>
      </c>
      <c r="F10" s="98"/>
      <c r="H10" s="98"/>
      <c r="I10" s="98">
        <f>'[1]bs-summary'!X12</f>
        <v>0</v>
      </c>
      <c r="J10" s="98"/>
      <c r="K10" s="98">
        <v>408</v>
      </c>
      <c r="L10" s="98"/>
      <c r="M10" s="106">
        <v>-1465</v>
      </c>
      <c r="N10" s="98"/>
      <c r="O10" s="109">
        <v>-65</v>
      </c>
      <c r="P10" s="98"/>
      <c r="Q10" s="98">
        <v>-348</v>
      </c>
      <c r="R10" s="98"/>
      <c r="S10" s="109">
        <v>-64573</v>
      </c>
      <c r="T10" s="110"/>
      <c r="U10" s="110">
        <v>3889</v>
      </c>
      <c r="V10" s="96"/>
      <c r="W10" s="97">
        <f>+U10/4</f>
        <v>972.25</v>
      </c>
      <c r="X10" s="98"/>
      <c r="Y10" s="98"/>
      <c r="Z10" s="98"/>
      <c r="AA10" s="98"/>
      <c r="AB10" s="98"/>
      <c r="AC10" s="98"/>
      <c r="AD10" s="98"/>
      <c r="AE10" s="98"/>
      <c r="AF10" s="98"/>
      <c r="AG10" s="98"/>
      <c r="AH10" s="98"/>
    </row>
    <row r="11" spans="2:34" s="97" customFormat="1" ht="16.5" customHeight="1">
      <c r="B11" s="108" t="s">
        <v>78</v>
      </c>
      <c r="F11" s="98"/>
      <c r="H11" s="98"/>
      <c r="I11" s="98"/>
      <c r="J11" s="98"/>
      <c r="K11" s="98"/>
      <c r="L11" s="98"/>
      <c r="M11" s="106"/>
      <c r="N11" s="98"/>
      <c r="O11" s="109"/>
      <c r="P11" s="98"/>
      <c r="Q11" s="98"/>
      <c r="R11" s="98"/>
      <c r="S11" s="109"/>
      <c r="T11" s="110"/>
      <c r="U11" s="110"/>
      <c r="V11" s="96"/>
      <c r="X11" s="98"/>
      <c r="Y11" s="98"/>
      <c r="Z11" s="98"/>
      <c r="AA11" s="98"/>
      <c r="AB11" s="98"/>
      <c r="AC11" s="98"/>
      <c r="AD11" s="98"/>
      <c r="AE11" s="98"/>
      <c r="AF11" s="98"/>
      <c r="AG11" s="98"/>
      <c r="AH11" s="98"/>
    </row>
    <row r="12" spans="3:34" s="97" customFormat="1" ht="16.5" customHeight="1">
      <c r="C12" s="97" t="s">
        <v>79</v>
      </c>
      <c r="F12" s="98"/>
      <c r="H12" s="98"/>
      <c r="I12" s="98">
        <f>'[1]bs-summary'!X27</f>
        <v>0</v>
      </c>
      <c r="J12" s="98"/>
      <c r="K12" s="98">
        <v>1731</v>
      </c>
      <c r="L12" s="98"/>
      <c r="M12" s="106">
        <v>2236</v>
      </c>
      <c r="N12" s="98"/>
      <c r="O12" s="109">
        <v>4329</v>
      </c>
      <c r="P12" s="98"/>
      <c r="Q12" s="98">
        <f>+O12/4</f>
        <v>1082.25</v>
      </c>
      <c r="R12" s="98"/>
      <c r="S12" s="109">
        <v>4328789</v>
      </c>
      <c r="T12" s="110"/>
      <c r="U12" s="110">
        <v>6202</v>
      </c>
      <c r="V12" s="96"/>
      <c r="W12" s="97">
        <f aca="true" t="shared" si="0" ref="W12:W23">+U12/4</f>
        <v>1550.5</v>
      </c>
      <c r="X12" s="98"/>
      <c r="Y12" s="98"/>
      <c r="Z12" s="98"/>
      <c r="AA12" s="98"/>
      <c r="AB12" s="98"/>
      <c r="AC12" s="98"/>
      <c r="AD12" s="98"/>
      <c r="AE12" s="98"/>
      <c r="AF12" s="98"/>
      <c r="AG12" s="98"/>
      <c r="AH12" s="98"/>
    </row>
    <row r="13" spans="3:34" s="97" customFormat="1" ht="16.5" customHeight="1">
      <c r="C13" s="97" t="s">
        <v>80</v>
      </c>
      <c r="F13" s="98"/>
      <c r="H13" s="98"/>
      <c r="I13" s="98">
        <f>'[1]bs-summary'!X28</f>
        <v>0</v>
      </c>
      <c r="J13" s="98"/>
      <c r="K13" s="98">
        <v>-303</v>
      </c>
      <c r="L13" s="98"/>
      <c r="M13" s="106">
        <v>-256</v>
      </c>
      <c r="N13" s="98"/>
      <c r="O13" s="109">
        <v>-108</v>
      </c>
      <c r="P13" s="98"/>
      <c r="Q13" s="98">
        <v>0</v>
      </c>
      <c r="R13" s="98"/>
      <c r="S13" s="109">
        <v>-108426</v>
      </c>
      <c r="T13" s="110"/>
      <c r="U13" s="110"/>
      <c r="V13" s="96"/>
      <c r="W13" s="97">
        <f t="shared" si="0"/>
        <v>0</v>
      </c>
      <c r="X13" s="98"/>
      <c r="Y13" s="98"/>
      <c r="Z13" s="98"/>
      <c r="AA13" s="98"/>
      <c r="AB13" s="98"/>
      <c r="AC13" s="98"/>
      <c r="AD13" s="98"/>
      <c r="AE13" s="98"/>
      <c r="AF13" s="98"/>
      <c r="AG13" s="98"/>
      <c r="AH13" s="98"/>
    </row>
    <row r="14" spans="3:34" s="97" customFormat="1" ht="16.5" customHeight="1" hidden="1">
      <c r="C14" s="97" t="s">
        <v>137</v>
      </c>
      <c r="F14" s="98"/>
      <c r="H14" s="98"/>
      <c r="I14" s="98"/>
      <c r="J14" s="98"/>
      <c r="K14" s="98"/>
      <c r="L14" s="98"/>
      <c r="M14" s="106">
        <v>0</v>
      </c>
      <c r="N14" s="98"/>
      <c r="O14" s="109">
        <v>337</v>
      </c>
      <c r="P14" s="98"/>
      <c r="Q14" s="98">
        <v>0</v>
      </c>
      <c r="R14" s="98"/>
      <c r="S14" s="109">
        <v>337132</v>
      </c>
      <c r="T14" s="110"/>
      <c r="U14" s="110">
        <v>13</v>
      </c>
      <c r="V14" s="96"/>
      <c r="W14" s="97">
        <f t="shared" si="0"/>
        <v>3.25</v>
      </c>
      <c r="X14" s="98"/>
      <c r="Y14" s="98"/>
      <c r="Z14" s="98"/>
      <c r="AA14" s="98"/>
      <c r="AB14" s="98"/>
      <c r="AC14" s="98"/>
      <c r="AD14" s="98"/>
      <c r="AE14" s="98"/>
      <c r="AF14" s="98"/>
      <c r="AG14" s="98"/>
      <c r="AH14" s="98"/>
    </row>
    <row r="15" spans="3:34" s="111" customFormat="1" ht="16.5" customHeight="1" hidden="1">
      <c r="C15" s="111" t="s">
        <v>138</v>
      </c>
      <c r="F15" s="106"/>
      <c r="H15" s="106"/>
      <c r="I15" s="106"/>
      <c r="J15" s="106"/>
      <c r="K15" s="106"/>
      <c r="L15" s="106"/>
      <c r="M15" s="106">
        <v>0</v>
      </c>
      <c r="N15" s="106"/>
      <c r="O15" s="112">
        <v>290</v>
      </c>
      <c r="P15" s="106"/>
      <c r="Q15" s="106">
        <v>0</v>
      </c>
      <c r="R15" s="106"/>
      <c r="S15" s="112">
        <v>290015</v>
      </c>
      <c r="T15" s="113"/>
      <c r="U15" s="113">
        <v>-8878</v>
      </c>
      <c r="V15" s="114"/>
      <c r="W15" s="97">
        <f t="shared" si="0"/>
        <v>-2219.5</v>
      </c>
      <c r="X15" s="106"/>
      <c r="Y15" s="106"/>
      <c r="Z15" s="106"/>
      <c r="AA15" s="106"/>
      <c r="AB15" s="106"/>
      <c r="AC15" s="106"/>
      <c r="AD15" s="106"/>
      <c r="AE15" s="106"/>
      <c r="AF15" s="106"/>
      <c r="AG15" s="106"/>
      <c r="AH15" s="106"/>
    </row>
    <row r="16" spans="3:34" s="97" customFormat="1" ht="16.5" customHeight="1" hidden="1">
      <c r="C16" s="97" t="s">
        <v>139</v>
      </c>
      <c r="F16" s="98"/>
      <c r="H16" s="98"/>
      <c r="I16" s="98"/>
      <c r="J16" s="98"/>
      <c r="K16" s="98"/>
      <c r="L16" s="98"/>
      <c r="M16" s="106">
        <v>0</v>
      </c>
      <c r="N16" s="98"/>
      <c r="O16" s="109">
        <v>58</v>
      </c>
      <c r="P16" s="98"/>
      <c r="Q16" s="98">
        <v>0</v>
      </c>
      <c r="R16" s="98"/>
      <c r="S16" s="109">
        <v>57914</v>
      </c>
      <c r="T16" s="110"/>
      <c r="U16" s="110">
        <v>524</v>
      </c>
      <c r="V16" s="96"/>
      <c r="W16" s="97">
        <f t="shared" si="0"/>
        <v>131</v>
      </c>
      <c r="X16" s="98"/>
      <c r="Y16" s="98"/>
      <c r="Z16" s="98"/>
      <c r="AA16" s="98"/>
      <c r="AB16" s="98"/>
      <c r="AC16" s="98"/>
      <c r="AD16" s="98"/>
      <c r="AE16" s="98"/>
      <c r="AF16" s="98"/>
      <c r="AG16" s="98"/>
      <c r="AH16" s="98"/>
    </row>
    <row r="17" spans="3:34" s="97" customFormat="1" ht="16.5" customHeight="1">
      <c r="C17" s="97" t="s">
        <v>81</v>
      </c>
      <c r="F17" s="98"/>
      <c r="H17" s="98"/>
      <c r="I17" s="98">
        <f>-105</f>
        <v>-105</v>
      </c>
      <c r="J17" s="98"/>
      <c r="K17" s="106">
        <v>-52</v>
      </c>
      <c r="L17" s="98"/>
      <c r="M17" s="106">
        <v>-21</v>
      </c>
      <c r="N17" s="98"/>
      <c r="O17" s="109">
        <v>-345</v>
      </c>
      <c r="P17" s="98"/>
      <c r="Q17" s="98">
        <f>+O17/4</f>
        <v>-86.25</v>
      </c>
      <c r="R17" s="98"/>
      <c r="S17" s="109">
        <v>-344630</v>
      </c>
      <c r="T17" s="110"/>
      <c r="U17" s="110">
        <v>-97</v>
      </c>
      <c r="V17" s="96"/>
      <c r="W17" s="97">
        <f t="shared" si="0"/>
        <v>-24.25</v>
      </c>
      <c r="X17" s="98"/>
      <c r="Y17" s="98"/>
      <c r="Z17" s="98"/>
      <c r="AA17" s="98"/>
      <c r="AB17" s="98"/>
      <c r="AC17" s="98"/>
      <c r="AD17" s="98"/>
      <c r="AE17" s="98"/>
      <c r="AF17" s="98"/>
      <c r="AG17" s="98"/>
      <c r="AH17" s="98"/>
    </row>
    <row r="18" spans="3:34" s="97" customFormat="1" ht="16.5" customHeight="1">
      <c r="C18" s="97" t="s">
        <v>82</v>
      </c>
      <c r="F18" s="98"/>
      <c r="H18" s="98"/>
      <c r="I18" s="98">
        <f>-'[1]pl-summary'!D33</f>
        <v>928.26434</v>
      </c>
      <c r="J18" s="98"/>
      <c r="K18" s="106">
        <v>2285</v>
      </c>
      <c r="L18" s="98"/>
      <c r="M18" s="106">
        <f>12+292+38+443</f>
        <v>785</v>
      </c>
      <c r="N18" s="98"/>
      <c r="O18" s="109">
        <v>6397</v>
      </c>
      <c r="P18" s="98"/>
      <c r="Q18" s="98">
        <f>+O18/4</f>
        <v>1599.25</v>
      </c>
      <c r="R18" s="98"/>
      <c r="S18" s="109">
        <v>6396919</v>
      </c>
      <c r="T18" s="110"/>
      <c r="U18" s="110">
        <v>8516</v>
      </c>
      <c r="V18" s="96"/>
      <c r="W18" s="97">
        <f t="shared" si="0"/>
        <v>2129</v>
      </c>
      <c r="X18" s="98"/>
      <c r="Y18" s="98"/>
      <c r="Z18" s="98"/>
      <c r="AA18" s="98"/>
      <c r="AB18" s="98"/>
      <c r="AC18" s="98"/>
      <c r="AD18" s="98"/>
      <c r="AE18" s="98"/>
      <c r="AF18" s="98"/>
      <c r="AG18" s="98"/>
      <c r="AH18" s="98"/>
    </row>
    <row r="19" spans="3:34" s="97" customFormat="1" ht="16.5" customHeight="1">
      <c r="C19" s="97" t="s">
        <v>140</v>
      </c>
      <c r="F19" s="98"/>
      <c r="H19" s="98"/>
      <c r="I19" s="98">
        <f>-'[1]pl-summary'!D24</f>
        <v>124.773525</v>
      </c>
      <c r="J19" s="98"/>
      <c r="K19" s="98">
        <v>0</v>
      </c>
      <c r="L19" s="98"/>
      <c r="M19" s="106">
        <v>-131</v>
      </c>
      <c r="N19" s="98"/>
      <c r="O19" s="109">
        <v>-259</v>
      </c>
      <c r="P19" s="98"/>
      <c r="Q19" s="98">
        <v>-65</v>
      </c>
      <c r="R19" s="98"/>
      <c r="S19" s="109">
        <v>-259454</v>
      </c>
      <c r="T19" s="110"/>
      <c r="U19" s="110">
        <v>-259</v>
      </c>
      <c r="V19" s="96"/>
      <c r="W19" s="97">
        <f t="shared" si="0"/>
        <v>-64.75</v>
      </c>
      <c r="X19" s="98"/>
      <c r="Y19" s="98"/>
      <c r="Z19" s="98"/>
      <c r="AA19" s="98"/>
      <c r="AB19" s="98"/>
      <c r="AC19" s="98"/>
      <c r="AD19" s="98"/>
      <c r="AE19" s="98"/>
      <c r="AF19" s="98"/>
      <c r="AG19" s="98"/>
      <c r="AH19" s="98"/>
    </row>
    <row r="20" spans="3:34" s="97" customFormat="1" ht="16.5" customHeight="1" hidden="1">
      <c r="C20" s="97" t="s">
        <v>141</v>
      </c>
      <c r="F20" s="98"/>
      <c r="H20" s="98"/>
      <c r="I20" s="98"/>
      <c r="J20" s="98"/>
      <c r="K20" s="98"/>
      <c r="L20" s="98"/>
      <c r="M20" s="106">
        <v>0</v>
      </c>
      <c r="N20" s="98"/>
      <c r="O20" s="110">
        <v>508</v>
      </c>
      <c r="P20" s="98"/>
      <c r="Q20" s="98">
        <v>0</v>
      </c>
      <c r="R20" s="98"/>
      <c r="S20" s="110">
        <f>407473+100383</f>
        <v>507856</v>
      </c>
      <c r="T20" s="110"/>
      <c r="U20" s="110"/>
      <c r="V20" s="96"/>
      <c r="W20" s="97">
        <f t="shared" si="0"/>
        <v>0</v>
      </c>
      <c r="X20" s="98"/>
      <c r="Y20" s="98"/>
      <c r="Z20" s="98"/>
      <c r="AA20" s="98"/>
      <c r="AB20" s="98"/>
      <c r="AC20" s="98"/>
      <c r="AD20" s="98"/>
      <c r="AE20" s="98"/>
      <c r="AF20" s="98"/>
      <c r="AG20" s="98"/>
      <c r="AH20" s="98"/>
    </row>
    <row r="21" spans="3:34" s="97" customFormat="1" ht="16.5" customHeight="1" hidden="1">
      <c r="C21" s="97" t="s">
        <v>142</v>
      </c>
      <c r="F21" s="98"/>
      <c r="H21" s="98"/>
      <c r="I21" s="98"/>
      <c r="J21" s="98"/>
      <c r="K21" s="98"/>
      <c r="L21" s="98"/>
      <c r="M21" s="106">
        <v>0</v>
      </c>
      <c r="N21" s="98"/>
      <c r="O21" s="110">
        <v>0</v>
      </c>
      <c r="P21" s="98"/>
      <c r="Q21" s="98">
        <v>0</v>
      </c>
      <c r="R21" s="98"/>
      <c r="S21" s="110">
        <v>0</v>
      </c>
      <c r="T21" s="110"/>
      <c r="U21" s="110">
        <v>100</v>
      </c>
      <c r="V21" s="96"/>
      <c r="W21" s="97">
        <f t="shared" si="0"/>
        <v>25</v>
      </c>
      <c r="X21" s="98"/>
      <c r="Y21" s="98"/>
      <c r="Z21" s="98"/>
      <c r="AA21" s="98"/>
      <c r="AB21" s="98"/>
      <c r="AC21" s="98"/>
      <c r="AD21" s="98"/>
      <c r="AE21" s="98"/>
      <c r="AF21" s="98"/>
      <c r="AG21" s="98"/>
      <c r="AH21" s="98"/>
    </row>
    <row r="22" spans="3:34" s="97" customFormat="1" ht="16.5" customHeight="1" hidden="1">
      <c r="C22" s="97" t="s">
        <v>143</v>
      </c>
      <c r="F22" s="98"/>
      <c r="H22" s="98"/>
      <c r="I22" s="98"/>
      <c r="J22" s="98"/>
      <c r="K22" s="98"/>
      <c r="L22" s="98"/>
      <c r="M22" s="106"/>
      <c r="N22" s="98"/>
      <c r="P22" s="98"/>
      <c r="Q22" s="98"/>
      <c r="R22" s="98"/>
      <c r="V22" s="96"/>
      <c r="W22" s="97">
        <f t="shared" si="0"/>
        <v>0</v>
      </c>
      <c r="X22" s="98"/>
      <c r="Y22" s="98"/>
      <c r="Z22" s="98"/>
      <c r="AA22" s="98"/>
      <c r="AB22" s="98"/>
      <c r="AC22" s="98"/>
      <c r="AD22" s="98"/>
      <c r="AE22" s="98"/>
      <c r="AF22" s="98"/>
      <c r="AG22" s="98"/>
      <c r="AH22" s="98"/>
    </row>
    <row r="23" spans="3:34" s="97" customFormat="1" ht="16.5" customHeight="1" hidden="1">
      <c r="C23" s="97" t="s">
        <v>144</v>
      </c>
      <c r="F23" s="98"/>
      <c r="H23" s="98"/>
      <c r="I23" s="98"/>
      <c r="J23" s="98"/>
      <c r="K23" s="98"/>
      <c r="L23" s="98"/>
      <c r="M23" s="106">
        <v>0</v>
      </c>
      <c r="N23" s="98"/>
      <c r="O23" s="110">
        <v>-805</v>
      </c>
      <c r="P23" s="98"/>
      <c r="Q23" s="98">
        <v>0</v>
      </c>
      <c r="R23" s="98"/>
      <c r="S23" s="116">
        <v>-804542</v>
      </c>
      <c r="T23" s="110"/>
      <c r="U23" s="116">
        <v>0</v>
      </c>
      <c r="V23" s="96"/>
      <c r="W23" s="115">
        <f t="shared" si="0"/>
        <v>0</v>
      </c>
      <c r="X23" s="98"/>
      <c r="Y23" s="98"/>
      <c r="Z23" s="98"/>
      <c r="AA23" s="98"/>
      <c r="AB23" s="98"/>
      <c r="AC23" s="98"/>
      <c r="AD23" s="98"/>
      <c r="AE23" s="98"/>
      <c r="AF23" s="98"/>
      <c r="AG23" s="98"/>
      <c r="AH23" s="98"/>
    </row>
    <row r="24" spans="3:34" s="97" customFormat="1" ht="16.5" customHeight="1">
      <c r="C24" s="97" t="s">
        <v>83</v>
      </c>
      <c r="F24" s="98"/>
      <c r="H24" s="98"/>
      <c r="I24" s="115">
        <v>0</v>
      </c>
      <c r="J24" s="98"/>
      <c r="K24" s="115">
        <v>-200</v>
      </c>
      <c r="L24" s="98"/>
      <c r="M24" s="106"/>
      <c r="N24" s="98"/>
      <c r="O24" s="110"/>
      <c r="P24" s="98"/>
      <c r="Q24" s="98"/>
      <c r="R24" s="98"/>
      <c r="S24" s="110"/>
      <c r="T24" s="110"/>
      <c r="U24" s="110"/>
      <c r="V24" s="96"/>
      <c r="W24" s="98"/>
      <c r="X24" s="98"/>
      <c r="Y24" s="98"/>
      <c r="Z24" s="98"/>
      <c r="AA24" s="98"/>
      <c r="AB24" s="98"/>
      <c r="AC24" s="98"/>
      <c r="AD24" s="98"/>
      <c r="AE24" s="98"/>
      <c r="AF24" s="98"/>
      <c r="AG24" s="98"/>
      <c r="AH24" s="98"/>
    </row>
    <row r="25" spans="6:34" s="97" customFormat="1" ht="16.5" customHeight="1">
      <c r="F25" s="98"/>
      <c r="H25" s="98"/>
      <c r="I25" s="98"/>
      <c r="J25" s="98"/>
      <c r="K25" s="98"/>
      <c r="L25" s="98"/>
      <c r="M25" s="106"/>
      <c r="N25" s="98"/>
      <c r="O25" s="110"/>
      <c r="P25" s="98"/>
      <c r="Q25" s="98"/>
      <c r="R25" s="98"/>
      <c r="S25" s="110"/>
      <c r="T25" s="110"/>
      <c r="U25" s="110"/>
      <c r="V25" s="96"/>
      <c r="W25" s="98"/>
      <c r="X25" s="98"/>
      <c r="Y25" s="98"/>
      <c r="Z25" s="98"/>
      <c r="AA25" s="98"/>
      <c r="AB25" s="98"/>
      <c r="AC25" s="98"/>
      <c r="AD25" s="98"/>
      <c r="AE25" s="98"/>
      <c r="AF25" s="98"/>
      <c r="AG25" s="98"/>
      <c r="AH25" s="98"/>
    </row>
    <row r="26" spans="6:34" s="97" customFormat="1" ht="16.5" customHeight="1">
      <c r="F26" s="98"/>
      <c r="H26" s="98"/>
      <c r="I26" s="98"/>
      <c r="J26" s="98"/>
      <c r="K26" s="98"/>
      <c r="L26" s="98"/>
      <c r="M26" s="117"/>
      <c r="N26" s="98"/>
      <c r="O26" s="109"/>
      <c r="P26" s="98"/>
      <c r="Q26" s="118"/>
      <c r="R26" s="98"/>
      <c r="S26" s="109"/>
      <c r="T26" s="110"/>
      <c r="U26" s="110"/>
      <c r="V26" s="96"/>
      <c r="X26" s="98"/>
      <c r="Y26" s="98"/>
      <c r="Z26" s="98"/>
      <c r="AA26" s="98"/>
      <c r="AB26" s="98"/>
      <c r="AC26" s="98"/>
      <c r="AD26" s="98"/>
      <c r="AE26" s="98"/>
      <c r="AF26" s="98"/>
      <c r="AG26" s="98"/>
      <c r="AH26" s="98"/>
    </row>
    <row r="27" spans="2:34" s="97" customFormat="1" ht="16.5" customHeight="1">
      <c r="B27" s="97" t="s">
        <v>84</v>
      </c>
      <c r="F27" s="98"/>
      <c r="H27" s="98"/>
      <c r="I27" s="109">
        <f>SUM(I10:I24)</f>
        <v>948.037865</v>
      </c>
      <c r="J27" s="98"/>
      <c r="K27" s="109">
        <f>SUM(K10:K24)</f>
        <v>3869</v>
      </c>
      <c r="L27" s="109"/>
      <c r="M27" s="112">
        <f>SUM(M10:M23)</f>
        <v>1148</v>
      </c>
      <c r="N27" s="98"/>
      <c r="O27" s="109">
        <f>SUM(O10:O23)</f>
        <v>10337</v>
      </c>
      <c r="P27" s="98"/>
      <c r="Q27" s="109">
        <f>SUM(Q10:Q23)</f>
        <v>2182.25</v>
      </c>
      <c r="R27" s="98"/>
      <c r="S27" s="109">
        <f>SUM(S10:S23)</f>
        <v>10337000</v>
      </c>
      <c r="T27" s="110"/>
      <c r="U27" s="110">
        <f>SUM(U10:U23)</f>
        <v>10010</v>
      </c>
      <c r="V27" s="96"/>
      <c r="W27" s="110">
        <f>SUM(W10:W23)</f>
        <v>2502.5</v>
      </c>
      <c r="X27" s="98"/>
      <c r="Y27" s="98"/>
      <c r="Z27" s="98"/>
      <c r="AA27" s="98"/>
      <c r="AB27" s="98"/>
      <c r="AC27" s="98"/>
      <c r="AD27" s="98"/>
      <c r="AE27" s="98"/>
      <c r="AF27" s="98"/>
      <c r="AG27" s="98"/>
      <c r="AH27" s="98"/>
    </row>
    <row r="28" spans="3:34" s="97" customFormat="1" ht="16.5" customHeight="1">
      <c r="C28" s="97" t="s">
        <v>29</v>
      </c>
      <c r="F28" s="98"/>
      <c r="H28" s="98"/>
      <c r="I28" s="98">
        <f>'[1]bs-summary'!Y40</f>
        <v>0</v>
      </c>
      <c r="J28" s="98"/>
      <c r="K28" s="98">
        <v>2265</v>
      </c>
      <c r="L28" s="98"/>
      <c r="M28" s="106">
        <v>0</v>
      </c>
      <c r="N28" s="98"/>
      <c r="O28" s="109">
        <v>4697</v>
      </c>
      <c r="P28" s="98"/>
      <c r="Q28" s="98">
        <v>0</v>
      </c>
      <c r="R28" s="98"/>
      <c r="S28" s="109">
        <v>4697459</v>
      </c>
      <c r="T28" s="110"/>
      <c r="U28" s="110">
        <v>-12406</v>
      </c>
      <c r="V28" s="96"/>
      <c r="W28" s="97">
        <f>+U28/4</f>
        <v>-3101.5</v>
      </c>
      <c r="X28" s="98"/>
      <c r="Y28" s="98"/>
      <c r="Z28" s="98"/>
      <c r="AA28" s="98"/>
      <c r="AB28" s="98"/>
      <c r="AC28" s="98"/>
      <c r="AD28" s="98"/>
      <c r="AE28" s="98"/>
      <c r="AF28" s="98"/>
      <c r="AG28" s="98"/>
      <c r="AH28" s="98"/>
    </row>
    <row r="29" spans="3:34" s="97" customFormat="1" ht="16.5" customHeight="1">
      <c r="C29" s="97" t="s">
        <v>145</v>
      </c>
      <c r="F29" s="98"/>
      <c r="H29" s="98"/>
      <c r="I29" s="98"/>
      <c r="J29" s="98"/>
      <c r="K29" s="98"/>
      <c r="L29" s="98"/>
      <c r="M29" s="106"/>
      <c r="N29" s="98"/>
      <c r="O29" s="109"/>
      <c r="P29" s="98"/>
      <c r="Q29" s="98"/>
      <c r="R29" s="98"/>
      <c r="S29" s="109"/>
      <c r="T29" s="110"/>
      <c r="U29" s="110"/>
      <c r="V29" s="96"/>
      <c r="X29" s="98"/>
      <c r="Y29" s="98"/>
      <c r="Z29" s="98"/>
      <c r="AA29" s="98"/>
      <c r="AB29" s="98"/>
      <c r="AC29" s="98"/>
      <c r="AD29" s="98"/>
      <c r="AE29" s="98"/>
      <c r="AF29" s="98"/>
      <c r="AG29" s="98"/>
      <c r="AH29" s="98"/>
    </row>
    <row r="30" spans="3:34" s="97" customFormat="1" ht="16.5" customHeight="1">
      <c r="C30" s="97" t="s">
        <v>146</v>
      </c>
      <c r="F30" s="98"/>
      <c r="H30" s="98"/>
      <c r="I30" s="98">
        <f>'[1]bs-summary'!Y39</f>
        <v>0</v>
      </c>
      <c r="J30" s="98"/>
      <c r="K30" s="98">
        <v>-4445</v>
      </c>
      <c r="L30" s="98"/>
      <c r="M30" s="106">
        <v>1951</v>
      </c>
      <c r="N30" s="98"/>
      <c r="O30" s="109">
        <v>-367</v>
      </c>
      <c r="P30" s="98"/>
      <c r="Q30" s="98">
        <v>1502</v>
      </c>
      <c r="R30" s="98"/>
      <c r="S30" s="109">
        <v>-367456</v>
      </c>
      <c r="T30" s="110"/>
      <c r="U30" s="110">
        <v>2049</v>
      </c>
      <c r="V30" s="96"/>
      <c r="W30" s="97">
        <f>+U30/4</f>
        <v>512.25</v>
      </c>
      <c r="X30" s="98"/>
      <c r="Y30" s="98"/>
      <c r="Z30" s="98"/>
      <c r="AA30" s="98"/>
      <c r="AB30" s="98"/>
      <c r="AC30" s="98"/>
      <c r="AD30" s="98"/>
      <c r="AE30" s="98"/>
      <c r="AF30" s="98"/>
      <c r="AG30" s="98"/>
      <c r="AH30" s="98"/>
    </row>
    <row r="31" spans="3:34" s="97" customFormat="1" ht="16.5" customHeight="1">
      <c r="C31" s="97" t="s">
        <v>147</v>
      </c>
      <c r="F31" s="98"/>
      <c r="H31" s="98"/>
      <c r="I31" s="98">
        <f>'[1]bs-summary'!Y38</f>
        <v>0</v>
      </c>
      <c r="J31" s="98"/>
      <c r="K31" s="98">
        <v>23059</v>
      </c>
      <c r="L31" s="98"/>
      <c r="M31" s="106">
        <v>7311</v>
      </c>
      <c r="N31" s="98"/>
      <c r="P31" s="98"/>
      <c r="Q31" s="98"/>
      <c r="R31" s="98"/>
      <c r="V31" s="96"/>
      <c r="X31" s="98"/>
      <c r="Y31" s="98"/>
      <c r="Z31" s="98"/>
      <c r="AA31" s="98"/>
      <c r="AB31" s="98"/>
      <c r="AC31" s="98"/>
      <c r="AD31" s="98"/>
      <c r="AE31" s="98"/>
      <c r="AF31" s="98"/>
      <c r="AG31" s="98"/>
      <c r="AH31" s="98"/>
    </row>
    <row r="32" spans="3:34" s="97" customFormat="1" ht="16.5" customHeight="1">
      <c r="C32" s="97" t="s">
        <v>148</v>
      </c>
      <c r="F32" s="98"/>
      <c r="H32" s="98"/>
      <c r="I32" s="98">
        <f>'[1]bs-summary'!Y30</f>
        <v>0</v>
      </c>
      <c r="J32" s="98"/>
      <c r="K32" s="98">
        <v>829</v>
      </c>
      <c r="L32" s="98"/>
      <c r="M32" s="106">
        <v>0</v>
      </c>
      <c r="N32" s="98"/>
      <c r="P32" s="98"/>
      <c r="Q32" s="98"/>
      <c r="R32" s="98"/>
      <c r="V32" s="96"/>
      <c r="X32" s="98"/>
      <c r="Y32" s="98"/>
      <c r="Z32" s="98"/>
      <c r="AA32" s="98"/>
      <c r="AB32" s="98"/>
      <c r="AC32" s="98"/>
      <c r="AD32" s="98"/>
      <c r="AE32" s="98"/>
      <c r="AF32" s="98"/>
      <c r="AG32" s="98"/>
      <c r="AH32" s="98"/>
    </row>
    <row r="33" spans="3:34" s="97" customFormat="1" ht="16.5" customHeight="1">
      <c r="C33" s="97" t="s">
        <v>126</v>
      </c>
      <c r="F33" s="98"/>
      <c r="H33" s="98"/>
      <c r="I33" s="98">
        <f>'[1]bs-summary'!Y41+'[1]bs-summary'!Y42-650</f>
        <v>-650</v>
      </c>
      <c r="J33" s="98"/>
      <c r="K33" s="98">
        <f>11609+1293</f>
        <v>12902</v>
      </c>
      <c r="L33" s="98"/>
      <c r="M33" s="106">
        <v>748</v>
      </c>
      <c r="N33" s="98"/>
      <c r="O33" s="109">
        <v>3673</v>
      </c>
      <c r="P33" s="98"/>
      <c r="Q33" s="98">
        <f>6807-1996</f>
        <v>4811</v>
      </c>
      <c r="R33" s="98"/>
      <c r="S33" s="109">
        <v>3672846</v>
      </c>
      <c r="T33" s="110"/>
      <c r="U33" s="110">
        <v>1830</v>
      </c>
      <c r="V33" s="96"/>
      <c r="W33" s="97">
        <f>+U33/4</f>
        <v>457.5</v>
      </c>
      <c r="X33" s="98"/>
      <c r="Y33" s="98"/>
      <c r="Z33" s="98"/>
      <c r="AA33" s="98"/>
      <c r="AB33" s="98"/>
      <c r="AC33" s="98"/>
      <c r="AD33" s="98"/>
      <c r="AE33" s="98"/>
      <c r="AF33" s="98"/>
      <c r="AG33" s="98"/>
      <c r="AH33" s="98"/>
    </row>
    <row r="34" spans="3:34" s="97" customFormat="1" ht="16.5" customHeight="1">
      <c r="C34" s="97" t="s">
        <v>127</v>
      </c>
      <c r="F34" s="98"/>
      <c r="H34" s="98"/>
      <c r="I34" s="98">
        <f>'[1]bs-summary'!Y54+'[1]bs-summary'!Y55</f>
        <v>0</v>
      </c>
      <c r="J34" s="98"/>
      <c r="K34" s="98">
        <f>-15765-3661-193</f>
        <v>-19619</v>
      </c>
      <c r="L34" s="98"/>
      <c r="M34" s="106">
        <v>-3043</v>
      </c>
      <c r="N34" s="98"/>
      <c r="O34" s="110">
        <v>4456</v>
      </c>
      <c r="P34" s="98"/>
      <c r="Q34" s="98">
        <v>391</v>
      </c>
      <c r="R34" s="98"/>
      <c r="S34" s="116">
        <v>4455648</v>
      </c>
      <c r="T34" s="110"/>
      <c r="U34" s="116">
        <v>-5664</v>
      </c>
      <c r="V34" s="96"/>
      <c r="W34" s="97">
        <f>+U34/4</f>
        <v>-1416</v>
      </c>
      <c r="X34" s="98"/>
      <c r="Y34" s="98"/>
      <c r="Z34" s="98"/>
      <c r="AA34" s="98"/>
      <c r="AB34" s="98"/>
      <c r="AC34" s="98"/>
      <c r="AD34" s="98"/>
      <c r="AE34" s="98"/>
      <c r="AF34" s="98"/>
      <c r="AG34" s="98"/>
      <c r="AH34" s="98"/>
    </row>
    <row r="35" spans="3:34" s="97" customFormat="1" ht="16.5" customHeight="1">
      <c r="C35" s="97" t="s">
        <v>149</v>
      </c>
      <c r="F35" s="98"/>
      <c r="H35" s="98"/>
      <c r="I35" s="115">
        <f>'[1]bs-summary'!Y57</f>
        <v>0</v>
      </c>
      <c r="J35" s="98"/>
      <c r="K35" s="115">
        <v>51</v>
      </c>
      <c r="L35" s="98"/>
      <c r="M35" s="119">
        <v>175</v>
      </c>
      <c r="N35" s="98"/>
      <c r="O35" s="110"/>
      <c r="P35" s="98"/>
      <c r="Q35" s="115">
        <v>0</v>
      </c>
      <c r="R35" s="98"/>
      <c r="S35" s="110"/>
      <c r="T35" s="110"/>
      <c r="U35" s="110"/>
      <c r="V35" s="96"/>
      <c r="X35" s="98"/>
      <c r="Y35" s="98"/>
      <c r="Z35" s="98"/>
      <c r="AA35" s="98"/>
      <c r="AB35" s="98"/>
      <c r="AC35" s="98"/>
      <c r="AD35" s="98"/>
      <c r="AE35" s="98"/>
      <c r="AF35" s="98"/>
      <c r="AG35" s="98"/>
      <c r="AH35" s="98"/>
    </row>
    <row r="36" spans="6:34" s="97" customFormat="1" ht="16.5" customHeight="1">
      <c r="F36" s="98"/>
      <c r="H36" s="98"/>
      <c r="I36" s="98"/>
      <c r="J36" s="98"/>
      <c r="K36" s="98"/>
      <c r="L36" s="98"/>
      <c r="M36" s="106"/>
      <c r="N36" s="98"/>
      <c r="P36" s="98"/>
      <c r="Q36" s="98"/>
      <c r="R36" s="98"/>
      <c r="T36" s="98"/>
      <c r="U36" s="98"/>
      <c r="V36" s="96"/>
      <c r="X36" s="98"/>
      <c r="Y36" s="98"/>
      <c r="Z36" s="98"/>
      <c r="AA36" s="98"/>
      <c r="AB36" s="98"/>
      <c r="AC36" s="98"/>
      <c r="AD36" s="98"/>
      <c r="AE36" s="98"/>
      <c r="AF36" s="98"/>
      <c r="AG36" s="98"/>
      <c r="AH36" s="98"/>
    </row>
    <row r="37" spans="2:34" s="97" customFormat="1" ht="16.5" customHeight="1">
      <c r="B37" s="97" t="s">
        <v>87</v>
      </c>
      <c r="F37" s="98"/>
      <c r="H37" s="98"/>
      <c r="I37" s="109">
        <f>SUM(I27:I35)</f>
        <v>298.037865</v>
      </c>
      <c r="J37" s="98"/>
      <c r="K37" s="109">
        <f>SUM(K27:K35)</f>
        <v>18911</v>
      </c>
      <c r="L37" s="109"/>
      <c r="M37" s="112">
        <f>SUM(M27:M35)</f>
        <v>8290</v>
      </c>
      <c r="N37" s="109"/>
      <c r="O37" s="109">
        <f>SUM(O27:O34)</f>
        <v>22796</v>
      </c>
      <c r="P37" s="98"/>
      <c r="Q37" s="109">
        <f>SUM(Q27:Q35)</f>
        <v>8886.25</v>
      </c>
      <c r="R37" s="98"/>
      <c r="S37" s="109">
        <f>SUM(S27:S34)</f>
        <v>22795497</v>
      </c>
      <c r="T37" s="110"/>
      <c r="U37" s="110">
        <f>SUM(U27:U34)</f>
        <v>-4181</v>
      </c>
      <c r="V37" s="96"/>
      <c r="X37" s="98"/>
      <c r="Y37" s="98"/>
      <c r="Z37" s="98"/>
      <c r="AA37" s="98"/>
      <c r="AB37" s="98"/>
      <c r="AC37" s="98"/>
      <c r="AD37" s="98"/>
      <c r="AE37" s="98"/>
      <c r="AF37" s="98"/>
      <c r="AG37" s="98"/>
      <c r="AH37" s="98"/>
    </row>
    <row r="38" spans="3:34" s="97" customFormat="1" ht="16.5" customHeight="1">
      <c r="C38" s="97" t="s">
        <v>88</v>
      </c>
      <c r="F38" s="98"/>
      <c r="H38" s="98"/>
      <c r="I38" s="98">
        <f>'[1]bs-summary'!Z63</f>
        <v>0</v>
      </c>
      <c r="J38" s="98"/>
      <c r="K38" s="98">
        <v>-1632</v>
      </c>
      <c r="L38" s="98"/>
      <c r="M38" s="106">
        <v>-1603</v>
      </c>
      <c r="N38" s="98"/>
      <c r="O38" s="109">
        <v>-2027</v>
      </c>
      <c r="P38" s="98"/>
      <c r="Q38" s="98">
        <f>+O38/4</f>
        <v>-506.75</v>
      </c>
      <c r="R38" s="98"/>
      <c r="S38" s="109">
        <v>-2027231</v>
      </c>
      <c r="T38" s="98"/>
      <c r="U38" s="98">
        <v>-653</v>
      </c>
      <c r="V38" s="96"/>
      <c r="W38" s="97">
        <f>+U38/4</f>
        <v>-163.25</v>
      </c>
      <c r="X38" s="98"/>
      <c r="Y38" s="98"/>
      <c r="Z38" s="98"/>
      <c r="AA38" s="98"/>
      <c r="AB38" s="98"/>
      <c r="AC38" s="98"/>
      <c r="AD38" s="98"/>
      <c r="AE38" s="98"/>
      <c r="AF38" s="98"/>
      <c r="AG38" s="98"/>
      <c r="AH38" s="98"/>
    </row>
    <row r="39" spans="3:34" s="97" customFormat="1" ht="16.5" customHeight="1">
      <c r="C39" s="97" t="s">
        <v>89</v>
      </c>
      <c r="F39" s="98"/>
      <c r="H39" s="98"/>
      <c r="I39" s="98">
        <f>-I17</f>
        <v>105</v>
      </c>
      <c r="J39" s="98"/>
      <c r="K39" s="106">
        <f>-K17</f>
        <v>52</v>
      </c>
      <c r="L39" s="98"/>
      <c r="M39" s="106">
        <v>21</v>
      </c>
      <c r="N39" s="98"/>
      <c r="O39" s="109">
        <v>345</v>
      </c>
      <c r="P39" s="98"/>
      <c r="Q39" s="98">
        <f>+O39/4</f>
        <v>86.25</v>
      </c>
      <c r="R39" s="98"/>
      <c r="S39" s="109">
        <v>344630</v>
      </c>
      <c r="T39" s="110"/>
      <c r="U39" s="110">
        <v>97</v>
      </c>
      <c r="V39" s="96"/>
      <c r="W39" s="97">
        <f>+U39/4</f>
        <v>24.25</v>
      </c>
      <c r="X39" s="98"/>
      <c r="Y39" s="98"/>
      <c r="Z39" s="98"/>
      <c r="AA39" s="98"/>
      <c r="AB39" s="98"/>
      <c r="AC39" s="98"/>
      <c r="AD39" s="98"/>
      <c r="AE39" s="98"/>
      <c r="AF39" s="98"/>
      <c r="AG39" s="98"/>
      <c r="AH39" s="98"/>
    </row>
    <row r="40" spans="3:34" s="97" customFormat="1" ht="16.5" customHeight="1">
      <c r="C40" s="97" t="s">
        <v>90</v>
      </c>
      <c r="F40" s="98"/>
      <c r="H40" s="98"/>
      <c r="I40" s="115">
        <f>-I18</f>
        <v>-928.26434</v>
      </c>
      <c r="J40" s="98"/>
      <c r="K40" s="119">
        <f>-K18</f>
        <v>-2285</v>
      </c>
      <c r="L40" s="98"/>
      <c r="M40" s="119">
        <f>-M18</f>
        <v>-785</v>
      </c>
      <c r="N40" s="98"/>
      <c r="O40" s="116">
        <v>-6397</v>
      </c>
      <c r="P40" s="98"/>
      <c r="Q40" s="115">
        <f>+O40/4</f>
        <v>-1599.25</v>
      </c>
      <c r="R40" s="98"/>
      <c r="S40" s="116">
        <v>-6396919</v>
      </c>
      <c r="T40" s="110"/>
      <c r="U40" s="116">
        <v>-8516</v>
      </c>
      <c r="V40" s="96"/>
      <c r="W40" s="115">
        <f>+U40/4</f>
        <v>-2129</v>
      </c>
      <c r="X40" s="98"/>
      <c r="Y40" s="98"/>
      <c r="Z40" s="98"/>
      <c r="AA40" s="98"/>
      <c r="AB40" s="98"/>
      <c r="AC40" s="98"/>
      <c r="AD40" s="98"/>
      <c r="AE40" s="98"/>
      <c r="AF40" s="98"/>
      <c r="AG40" s="98"/>
      <c r="AH40" s="98"/>
    </row>
    <row r="41" spans="6:34" s="97" customFormat="1" ht="16.5" customHeight="1">
      <c r="F41" s="98"/>
      <c r="H41" s="98"/>
      <c r="I41" s="98"/>
      <c r="J41" s="98"/>
      <c r="K41" s="98"/>
      <c r="L41" s="98"/>
      <c r="M41" s="106"/>
      <c r="N41" s="98"/>
      <c r="P41" s="98"/>
      <c r="Q41" s="98"/>
      <c r="R41" s="98"/>
      <c r="T41" s="110"/>
      <c r="U41" s="110"/>
      <c r="V41" s="96"/>
      <c r="X41" s="98"/>
      <c r="Y41" s="98"/>
      <c r="Z41" s="98"/>
      <c r="AA41" s="98"/>
      <c r="AB41" s="98"/>
      <c r="AC41" s="98"/>
      <c r="AD41" s="98"/>
      <c r="AE41" s="98"/>
      <c r="AF41" s="98"/>
      <c r="AG41" s="98"/>
      <c r="AH41" s="98"/>
    </row>
    <row r="42" spans="2:34" s="97" customFormat="1" ht="16.5" customHeight="1">
      <c r="B42" s="97" t="s">
        <v>91</v>
      </c>
      <c r="F42" s="98"/>
      <c r="H42" s="98"/>
      <c r="I42" s="116">
        <f>SUM(I37:I40)</f>
        <v>-525.2264749999999</v>
      </c>
      <c r="J42" s="98"/>
      <c r="K42" s="116">
        <f>SUM(K37:K40)</f>
        <v>15046</v>
      </c>
      <c r="L42" s="110"/>
      <c r="M42" s="120">
        <f>SUM(M37:M40)</f>
        <v>5923</v>
      </c>
      <c r="N42" s="110"/>
      <c r="O42" s="116">
        <f>SUM(O37:O40)</f>
        <v>14717</v>
      </c>
      <c r="P42" s="98"/>
      <c r="Q42" s="116">
        <f>SUM(Q37:Q40)</f>
        <v>6866.5</v>
      </c>
      <c r="R42" s="98"/>
      <c r="S42" s="116">
        <f>SUM(S37:S40)</f>
        <v>14715977</v>
      </c>
      <c r="T42" s="110"/>
      <c r="U42" s="116">
        <f>SUM(U37:U40)</f>
        <v>-13253</v>
      </c>
      <c r="V42" s="96"/>
      <c r="W42" s="116">
        <f>SUM(W37:W40)</f>
        <v>-2268</v>
      </c>
      <c r="X42" s="98"/>
      <c r="Y42" s="98"/>
      <c r="Z42" s="98"/>
      <c r="AA42" s="98"/>
      <c r="AB42" s="98"/>
      <c r="AC42" s="98"/>
      <c r="AD42" s="98"/>
      <c r="AE42" s="98"/>
      <c r="AF42" s="98"/>
      <c r="AG42" s="98"/>
      <c r="AH42" s="98"/>
    </row>
    <row r="43" spans="6:34" s="97" customFormat="1" ht="16.5" customHeight="1">
      <c r="F43" s="98"/>
      <c r="H43" s="98"/>
      <c r="I43" s="98"/>
      <c r="J43" s="98"/>
      <c r="K43" s="98"/>
      <c r="L43" s="98"/>
      <c r="M43" s="106"/>
      <c r="N43" s="98"/>
      <c r="O43" s="110"/>
      <c r="P43" s="98"/>
      <c r="Q43" s="98"/>
      <c r="R43" s="98"/>
      <c r="S43" s="110"/>
      <c r="T43" s="110"/>
      <c r="U43" s="110"/>
      <c r="V43" s="96"/>
      <c r="X43" s="98"/>
      <c r="Y43" s="98"/>
      <c r="Z43" s="98"/>
      <c r="AA43" s="98"/>
      <c r="AB43" s="98"/>
      <c r="AC43" s="98"/>
      <c r="AD43" s="98"/>
      <c r="AE43" s="98"/>
      <c r="AF43" s="98"/>
      <c r="AG43" s="98"/>
      <c r="AH43" s="98"/>
    </row>
    <row r="44" spans="1:34" s="97" customFormat="1" ht="16.5" customHeight="1">
      <c r="A44" s="87" t="s">
        <v>92</v>
      </c>
      <c r="F44" s="98"/>
      <c r="H44" s="98"/>
      <c r="I44" s="98"/>
      <c r="J44" s="98"/>
      <c r="K44" s="98"/>
      <c r="L44" s="98"/>
      <c r="M44" s="106"/>
      <c r="N44" s="98"/>
      <c r="O44" s="109"/>
      <c r="P44" s="98"/>
      <c r="Q44" s="98"/>
      <c r="R44" s="98"/>
      <c r="S44" s="109"/>
      <c r="T44" s="110"/>
      <c r="U44" s="110"/>
      <c r="V44" s="96"/>
      <c r="X44" s="98"/>
      <c r="Y44" s="98"/>
      <c r="Z44" s="98"/>
      <c r="AA44" s="98"/>
      <c r="AB44" s="98"/>
      <c r="AC44" s="98"/>
      <c r="AD44" s="98"/>
      <c r="AE44" s="98"/>
      <c r="AF44" s="98"/>
      <c r="AG44" s="98"/>
      <c r="AH44" s="98"/>
    </row>
    <row r="45" spans="2:34" s="97" customFormat="1" ht="16.5" customHeight="1">
      <c r="B45" s="108" t="s">
        <v>93</v>
      </c>
      <c r="F45" s="98"/>
      <c r="H45" s="98"/>
      <c r="I45" s="98">
        <f>'[1]bs-summary'!Z27</f>
        <v>0</v>
      </c>
      <c r="J45" s="98"/>
      <c r="K45" s="106">
        <v>-202</v>
      </c>
      <c r="L45" s="106"/>
      <c r="M45" s="106">
        <v>-285</v>
      </c>
      <c r="N45" s="106"/>
      <c r="O45" s="112">
        <v>-574</v>
      </c>
      <c r="P45" s="106"/>
      <c r="Q45" s="106">
        <v>0</v>
      </c>
      <c r="R45" s="98"/>
      <c r="S45" s="109">
        <v>-574442</v>
      </c>
      <c r="T45" s="110"/>
      <c r="U45" s="110">
        <v>-163</v>
      </c>
      <c r="V45" s="96"/>
      <c r="W45" s="97">
        <v>0</v>
      </c>
      <c r="X45" s="98"/>
      <c r="Y45" s="98"/>
      <c r="Z45" s="98"/>
      <c r="AA45" s="98"/>
      <c r="AB45" s="98"/>
      <c r="AC45" s="98"/>
      <c r="AD45" s="98"/>
      <c r="AE45" s="98"/>
      <c r="AF45" s="98"/>
      <c r="AG45" s="98"/>
      <c r="AH45" s="98"/>
    </row>
    <row r="46" spans="2:34" s="97" customFormat="1" ht="16.5" customHeight="1">
      <c r="B46" s="97" t="s">
        <v>94</v>
      </c>
      <c r="F46" s="98"/>
      <c r="H46" s="98"/>
      <c r="I46" s="98"/>
      <c r="J46" s="98"/>
      <c r="K46" s="106"/>
      <c r="L46" s="106"/>
      <c r="M46" s="106"/>
      <c r="N46" s="106"/>
      <c r="O46" s="111"/>
      <c r="P46" s="106"/>
      <c r="Q46" s="106"/>
      <c r="R46" s="98"/>
      <c r="V46" s="96"/>
      <c r="X46" s="98"/>
      <c r="Y46" s="98"/>
      <c r="Z46" s="98"/>
      <c r="AA46" s="98"/>
      <c r="AB46" s="98"/>
      <c r="AC46" s="98"/>
      <c r="AD46" s="98"/>
      <c r="AE46" s="98"/>
      <c r="AF46" s="98"/>
      <c r="AG46" s="98"/>
      <c r="AH46" s="98"/>
    </row>
    <row r="47" spans="2:34" s="97" customFormat="1" ht="16.5" customHeight="1">
      <c r="B47" s="97" t="s">
        <v>95</v>
      </c>
      <c r="F47" s="98"/>
      <c r="H47" s="98"/>
      <c r="I47" s="115">
        <f>'[1]bs-summary'!Z28</f>
        <v>0</v>
      </c>
      <c r="J47" s="98"/>
      <c r="K47" s="119">
        <v>593</v>
      </c>
      <c r="L47" s="106"/>
      <c r="M47" s="106">
        <v>4995</v>
      </c>
      <c r="N47" s="106"/>
      <c r="O47" s="112">
        <v>5869</v>
      </c>
      <c r="P47" s="106"/>
      <c r="Q47" s="106">
        <v>0</v>
      </c>
      <c r="R47" s="98"/>
      <c r="S47" s="109">
        <f>5801947+66680</f>
        <v>5868627</v>
      </c>
      <c r="T47" s="110"/>
      <c r="U47" s="110">
        <v>18451</v>
      </c>
      <c r="V47" s="96"/>
      <c r="W47" s="97">
        <v>0</v>
      </c>
      <c r="X47" s="98"/>
      <c r="Y47" s="98"/>
      <c r="Z47" s="98"/>
      <c r="AA47" s="98"/>
      <c r="AB47" s="98"/>
      <c r="AC47" s="98"/>
      <c r="AD47" s="98"/>
      <c r="AE47" s="98"/>
      <c r="AF47" s="98"/>
      <c r="AG47" s="98"/>
      <c r="AH47" s="98"/>
    </row>
    <row r="48" spans="2:34" s="111" customFormat="1" ht="16.5" customHeight="1" hidden="1">
      <c r="B48" s="121" t="s">
        <v>150</v>
      </c>
      <c r="F48" s="106"/>
      <c r="H48" s="106"/>
      <c r="I48" s="106"/>
      <c r="J48" s="106"/>
      <c r="K48" s="106"/>
      <c r="L48" s="106"/>
      <c r="M48" s="106">
        <v>0</v>
      </c>
      <c r="N48" s="106"/>
      <c r="O48" s="113">
        <v>2923</v>
      </c>
      <c r="P48" s="106"/>
      <c r="Q48" s="106">
        <v>0</v>
      </c>
      <c r="R48" s="106"/>
      <c r="S48" s="113">
        <v>2923118</v>
      </c>
      <c r="T48" s="113"/>
      <c r="U48" s="113">
        <v>0</v>
      </c>
      <c r="V48" s="114"/>
      <c r="W48" s="111">
        <v>0</v>
      </c>
      <c r="X48" s="106"/>
      <c r="Y48" s="106"/>
      <c r="Z48" s="106"/>
      <c r="AA48" s="106"/>
      <c r="AB48" s="106"/>
      <c r="AC48" s="106"/>
      <c r="AD48" s="106"/>
      <c r="AE48" s="106"/>
      <c r="AF48" s="106"/>
      <c r="AG48" s="106"/>
      <c r="AH48" s="106"/>
    </row>
    <row r="49" spans="2:34" s="97" customFormat="1" ht="16.5" customHeight="1" hidden="1">
      <c r="B49" s="122" t="s">
        <v>151</v>
      </c>
      <c r="F49" s="98"/>
      <c r="H49" s="98"/>
      <c r="I49" s="98"/>
      <c r="J49" s="98"/>
      <c r="K49" s="98"/>
      <c r="L49" s="98"/>
      <c r="M49" s="106">
        <v>0</v>
      </c>
      <c r="N49" s="98"/>
      <c r="O49" s="110">
        <v>-68</v>
      </c>
      <c r="P49" s="98"/>
      <c r="Q49" s="98">
        <v>0</v>
      </c>
      <c r="R49" s="98"/>
      <c r="S49" s="110">
        <v>-67580</v>
      </c>
      <c r="T49" s="110"/>
      <c r="U49" s="110">
        <v>0</v>
      </c>
      <c r="V49" s="96"/>
      <c r="W49" s="97">
        <v>0</v>
      </c>
      <c r="X49" s="98"/>
      <c r="Y49" s="98"/>
      <c r="Z49" s="98"/>
      <c r="AA49" s="98"/>
      <c r="AB49" s="98"/>
      <c r="AC49" s="98"/>
      <c r="AD49" s="98"/>
      <c r="AE49" s="98"/>
      <c r="AF49" s="98"/>
      <c r="AG49" s="98"/>
      <c r="AH49" s="98"/>
    </row>
    <row r="50" spans="2:34" s="97" customFormat="1" ht="16.5" customHeight="1" hidden="1">
      <c r="B50" s="97" t="s">
        <v>152</v>
      </c>
      <c r="F50" s="98"/>
      <c r="H50" s="98"/>
      <c r="I50" s="98"/>
      <c r="J50" s="98"/>
      <c r="K50" s="98"/>
      <c r="L50" s="98"/>
      <c r="M50" s="119">
        <v>0</v>
      </c>
      <c r="N50" s="98"/>
      <c r="O50" s="123">
        <v>-735</v>
      </c>
      <c r="P50" s="98"/>
      <c r="Q50" s="115">
        <v>0</v>
      </c>
      <c r="R50" s="98"/>
      <c r="S50" s="123">
        <v>-734902</v>
      </c>
      <c r="T50" s="124"/>
      <c r="U50" s="123">
        <v>0</v>
      </c>
      <c r="V50" s="96"/>
      <c r="W50" s="115">
        <v>0</v>
      </c>
      <c r="X50" s="98"/>
      <c r="Y50" s="98"/>
      <c r="Z50" s="98"/>
      <c r="AA50" s="98"/>
      <c r="AB50" s="98"/>
      <c r="AC50" s="98"/>
      <c r="AD50" s="98"/>
      <c r="AE50" s="98"/>
      <c r="AF50" s="98"/>
      <c r="AG50" s="98"/>
      <c r="AH50" s="98"/>
    </row>
    <row r="51" spans="6:34" s="97" customFormat="1" ht="16.5" customHeight="1">
      <c r="F51" s="98"/>
      <c r="H51" s="98"/>
      <c r="I51" s="98"/>
      <c r="J51" s="98"/>
      <c r="K51" s="98"/>
      <c r="L51" s="98"/>
      <c r="M51" s="117"/>
      <c r="N51" s="98"/>
      <c r="O51" s="110"/>
      <c r="P51" s="98"/>
      <c r="Q51" s="118"/>
      <c r="R51" s="98"/>
      <c r="S51" s="110"/>
      <c r="T51" s="110"/>
      <c r="U51" s="110"/>
      <c r="V51" s="96"/>
      <c r="X51" s="98"/>
      <c r="Y51" s="98"/>
      <c r="Z51" s="98"/>
      <c r="AA51" s="98"/>
      <c r="AB51" s="98"/>
      <c r="AC51" s="98"/>
      <c r="AD51" s="98"/>
      <c r="AE51" s="98"/>
      <c r="AF51" s="98"/>
      <c r="AG51" s="98"/>
      <c r="AH51" s="98"/>
    </row>
    <row r="52" spans="2:34" s="97" customFormat="1" ht="16.5" customHeight="1">
      <c r="B52" s="97" t="s">
        <v>96</v>
      </c>
      <c r="F52" s="98"/>
      <c r="H52" s="98"/>
      <c r="I52" s="116">
        <f>SUM(I45:I51)</f>
        <v>0</v>
      </c>
      <c r="J52" s="98"/>
      <c r="K52" s="116">
        <f>SUM(K45:K51)</f>
        <v>391</v>
      </c>
      <c r="L52" s="110"/>
      <c r="M52" s="120">
        <f>SUM(M45:M51)</f>
        <v>4710</v>
      </c>
      <c r="N52" s="110"/>
      <c r="O52" s="116">
        <f>SUM(O45:O51)</f>
        <v>7415</v>
      </c>
      <c r="P52" s="98"/>
      <c r="Q52" s="116">
        <f>SUM(Q45:Q51)</f>
        <v>0</v>
      </c>
      <c r="R52" s="98"/>
      <c r="S52" s="116">
        <f>SUM(S45:S51)</f>
        <v>7414821</v>
      </c>
      <c r="T52" s="110"/>
      <c r="U52" s="116">
        <f>SUM(U45:U50)</f>
        <v>18288</v>
      </c>
      <c r="V52" s="96"/>
      <c r="W52" s="116">
        <f>SUM(W45:W50)</f>
        <v>0</v>
      </c>
      <c r="X52" s="98"/>
      <c r="Y52" s="98"/>
      <c r="Z52" s="98"/>
      <c r="AA52" s="98"/>
      <c r="AB52" s="98"/>
      <c r="AC52" s="98"/>
      <c r="AD52" s="98"/>
      <c r="AE52" s="98"/>
      <c r="AF52" s="98"/>
      <c r="AG52" s="98"/>
      <c r="AH52" s="98"/>
    </row>
    <row r="53" spans="6:34" s="97" customFormat="1" ht="16.5" customHeight="1">
      <c r="F53" s="98"/>
      <c r="H53" s="98"/>
      <c r="I53" s="98"/>
      <c r="J53" s="98"/>
      <c r="K53" s="98"/>
      <c r="L53" s="98"/>
      <c r="M53" s="106"/>
      <c r="N53" s="98"/>
      <c r="O53" s="110"/>
      <c r="P53" s="98"/>
      <c r="Q53" s="98"/>
      <c r="R53" s="98"/>
      <c r="S53" s="110"/>
      <c r="T53" s="110"/>
      <c r="U53" s="110"/>
      <c r="V53" s="96"/>
      <c r="X53" s="98"/>
      <c r="Y53" s="98"/>
      <c r="Z53" s="98"/>
      <c r="AA53" s="98"/>
      <c r="AB53" s="98"/>
      <c r="AC53" s="98"/>
      <c r="AD53" s="98"/>
      <c r="AE53" s="98"/>
      <c r="AF53" s="98"/>
      <c r="AG53" s="98"/>
      <c r="AH53" s="98"/>
    </row>
    <row r="54" spans="2:34" s="97" customFormat="1" ht="16.5" customHeight="1">
      <c r="B54" s="91"/>
      <c r="C54" s="91"/>
      <c r="D54" s="91"/>
      <c r="E54" s="91"/>
      <c r="F54" s="98"/>
      <c r="G54" s="91"/>
      <c r="H54" s="93"/>
      <c r="I54" s="93"/>
      <c r="J54" s="93"/>
      <c r="K54" s="93"/>
      <c r="L54" s="93"/>
      <c r="M54" s="94"/>
      <c r="N54" s="93"/>
      <c r="O54" s="95"/>
      <c r="P54" s="93"/>
      <c r="Q54" s="93"/>
      <c r="R54" s="93"/>
      <c r="S54" s="95"/>
      <c r="T54" s="93"/>
      <c r="U54" s="93"/>
      <c r="V54" s="96"/>
      <c r="X54" s="98"/>
      <c r="Y54" s="98"/>
      <c r="Z54" s="98"/>
      <c r="AA54" s="98"/>
      <c r="AB54" s="98"/>
      <c r="AC54" s="98"/>
      <c r="AD54" s="98"/>
      <c r="AE54" s="98"/>
      <c r="AF54" s="98"/>
      <c r="AG54" s="98"/>
      <c r="AH54" s="98"/>
    </row>
    <row r="55" spans="1:34" s="97" customFormat="1" ht="16.5" customHeight="1">
      <c r="A55" s="87" t="s">
        <v>97</v>
      </c>
      <c r="F55" s="98"/>
      <c r="H55" s="98"/>
      <c r="I55" s="98"/>
      <c r="J55" s="98"/>
      <c r="K55" s="98"/>
      <c r="L55" s="98"/>
      <c r="M55" s="106"/>
      <c r="N55" s="98"/>
      <c r="O55" s="124"/>
      <c r="P55" s="98"/>
      <c r="Q55" s="98"/>
      <c r="R55" s="98"/>
      <c r="S55" s="124"/>
      <c r="T55" s="124"/>
      <c r="U55" s="124"/>
      <c r="V55" s="96"/>
      <c r="X55" s="98"/>
      <c r="Y55" s="98"/>
      <c r="Z55" s="98"/>
      <c r="AA55" s="98"/>
      <c r="AB55" s="98"/>
      <c r="AC55" s="98"/>
      <c r="AD55" s="98"/>
      <c r="AE55" s="98"/>
      <c r="AF55" s="98"/>
      <c r="AG55" s="98"/>
      <c r="AH55" s="98"/>
    </row>
    <row r="56" spans="2:34" s="97" customFormat="1" ht="16.5" customHeight="1">
      <c r="B56" s="108" t="s">
        <v>98</v>
      </c>
      <c r="F56" s="98"/>
      <c r="H56" s="98"/>
      <c r="I56" s="98">
        <f>'[1]bs-summary'!AB60</f>
        <v>0</v>
      </c>
      <c r="J56" s="98"/>
      <c r="K56" s="98">
        <v>-350</v>
      </c>
      <c r="L56" s="98"/>
      <c r="M56" s="106">
        <v>-510</v>
      </c>
      <c r="N56" s="98"/>
      <c r="O56" s="124">
        <v>-1819</v>
      </c>
      <c r="P56" s="98"/>
      <c r="Q56" s="98">
        <f>+O56/4</f>
        <v>-454.75</v>
      </c>
      <c r="R56" s="98"/>
      <c r="S56" s="124">
        <v>-1818555</v>
      </c>
      <c r="T56" s="124"/>
      <c r="U56" s="124">
        <v>-5754</v>
      </c>
      <c r="V56" s="96"/>
      <c r="W56" s="97">
        <f>+U56/4</f>
        <v>-1438.5</v>
      </c>
      <c r="X56" s="98"/>
      <c r="Y56" s="98"/>
      <c r="Z56" s="98"/>
      <c r="AA56" s="98"/>
      <c r="AB56" s="98"/>
      <c r="AC56" s="98"/>
      <c r="AD56" s="98"/>
      <c r="AE56" s="98"/>
      <c r="AF56" s="98"/>
      <c r="AG56" s="98"/>
      <c r="AH56" s="98"/>
    </row>
    <row r="57" spans="2:34" s="97" customFormat="1" ht="16.5" customHeight="1">
      <c r="B57" s="97" t="s">
        <v>99</v>
      </c>
      <c r="F57" s="98"/>
      <c r="H57" s="98"/>
      <c r="I57" s="98">
        <f>'[1]bs-summary'!AB62</f>
        <v>0</v>
      </c>
      <c r="J57" s="98"/>
      <c r="K57" s="98">
        <f>-10623+300</f>
        <v>-10323</v>
      </c>
      <c r="L57" s="98"/>
      <c r="M57" s="106">
        <f>-2228-4185+3378</f>
        <v>-3035</v>
      </c>
      <c r="N57" s="98"/>
      <c r="O57" s="124">
        <v>-9319</v>
      </c>
      <c r="P57" s="98"/>
      <c r="Q57" s="98">
        <f>+O57/4</f>
        <v>-2329.75</v>
      </c>
      <c r="R57" s="98"/>
      <c r="S57" s="124">
        <v>-9319147</v>
      </c>
      <c r="T57" s="124"/>
      <c r="U57" s="124">
        <v>-11051</v>
      </c>
      <c r="V57" s="96"/>
      <c r="W57" s="97">
        <f>+U57/4</f>
        <v>-2762.75</v>
      </c>
      <c r="X57" s="98"/>
      <c r="Y57" s="98"/>
      <c r="Z57" s="98"/>
      <c r="AA57" s="98"/>
      <c r="AB57" s="98"/>
      <c r="AC57" s="98"/>
      <c r="AD57" s="98"/>
      <c r="AE57" s="98"/>
      <c r="AF57" s="98"/>
      <c r="AG57" s="98"/>
      <c r="AH57" s="98"/>
    </row>
    <row r="58" spans="2:34" s="97" customFormat="1" ht="16.5" customHeight="1">
      <c r="B58" s="97" t="s">
        <v>153</v>
      </c>
      <c r="F58" s="98"/>
      <c r="H58" s="98"/>
      <c r="I58" s="98">
        <f>-5610</f>
        <v>-5610</v>
      </c>
      <c r="J58" s="98"/>
      <c r="K58" s="98">
        <v>0</v>
      </c>
      <c r="L58" s="98"/>
      <c r="M58" s="106"/>
      <c r="N58" s="98"/>
      <c r="O58" s="124"/>
      <c r="P58" s="98"/>
      <c r="Q58" s="98"/>
      <c r="R58" s="98"/>
      <c r="S58" s="124"/>
      <c r="T58" s="124"/>
      <c r="U58" s="124"/>
      <c r="V58" s="96"/>
      <c r="X58" s="98"/>
      <c r="Y58" s="98"/>
      <c r="Z58" s="98"/>
      <c r="AA58" s="98"/>
      <c r="AB58" s="98"/>
      <c r="AC58" s="98"/>
      <c r="AD58" s="98"/>
      <c r="AE58" s="98"/>
      <c r="AF58" s="98"/>
      <c r="AG58" s="98"/>
      <c r="AH58" s="98"/>
    </row>
    <row r="59" spans="2:34" s="97" customFormat="1" ht="16.5" customHeight="1">
      <c r="B59" s="125" t="s">
        <v>123</v>
      </c>
      <c r="F59" s="98"/>
      <c r="H59" s="98"/>
      <c r="I59" s="98">
        <f>'[1]bs-summary'!AB9+'[1]bs-summary'!AB10</f>
        <v>0</v>
      </c>
      <c r="J59" s="98"/>
      <c r="K59" s="98">
        <v>0</v>
      </c>
      <c r="L59" s="98"/>
      <c r="M59" s="106"/>
      <c r="N59" s="98"/>
      <c r="O59" s="124"/>
      <c r="P59" s="98"/>
      <c r="Q59" s="98"/>
      <c r="R59" s="98"/>
      <c r="S59" s="124"/>
      <c r="T59" s="124"/>
      <c r="U59" s="124"/>
      <c r="V59" s="96"/>
      <c r="X59" s="98"/>
      <c r="Y59" s="98"/>
      <c r="Z59" s="98"/>
      <c r="AA59" s="98"/>
      <c r="AB59" s="98"/>
      <c r="AC59" s="98"/>
      <c r="AD59" s="98"/>
      <c r="AE59" s="98"/>
      <c r="AF59" s="98"/>
      <c r="AG59" s="98"/>
      <c r="AH59" s="98"/>
    </row>
    <row r="60" spans="2:34" s="97" customFormat="1" ht="16.5" customHeight="1">
      <c r="B60" s="97" t="s">
        <v>100</v>
      </c>
      <c r="F60" s="98"/>
      <c r="H60" s="98"/>
      <c r="I60" s="115">
        <v>-8</v>
      </c>
      <c r="J60" s="98"/>
      <c r="K60" s="115">
        <v>-300</v>
      </c>
      <c r="L60" s="98"/>
      <c r="M60" s="119">
        <v>-200</v>
      </c>
      <c r="N60" s="98"/>
      <c r="O60" s="124">
        <v>-5896</v>
      </c>
      <c r="P60" s="98"/>
      <c r="Q60" s="98">
        <f>+O60/4</f>
        <v>-1474</v>
      </c>
      <c r="R60" s="98"/>
      <c r="S60" s="124">
        <v>-5895762</v>
      </c>
      <c r="T60" s="124"/>
      <c r="U60" s="124">
        <v>-619</v>
      </c>
      <c r="V60" s="96"/>
      <c r="W60" s="97">
        <f>+U60/4</f>
        <v>-154.75</v>
      </c>
      <c r="X60" s="98"/>
      <c r="Y60" s="98"/>
      <c r="Z60" s="98"/>
      <c r="AA60" s="98"/>
      <c r="AB60" s="98"/>
      <c r="AC60" s="98"/>
      <c r="AD60" s="98"/>
      <c r="AE60" s="98"/>
      <c r="AF60" s="98"/>
      <c r="AG60" s="98"/>
      <c r="AH60" s="98"/>
    </row>
    <row r="61" spans="13:34" s="97" customFormat="1" ht="16.5" customHeight="1">
      <c r="M61" s="111"/>
      <c r="V61" s="96"/>
      <c r="X61" s="98"/>
      <c r="Y61" s="98"/>
      <c r="Z61" s="98"/>
      <c r="AA61" s="98"/>
      <c r="AB61" s="98"/>
      <c r="AC61" s="98"/>
      <c r="AD61" s="98"/>
      <c r="AE61" s="98"/>
      <c r="AF61" s="98"/>
      <c r="AG61" s="98"/>
      <c r="AH61" s="98"/>
    </row>
    <row r="62" spans="2:34" s="97" customFormat="1" ht="16.5" customHeight="1">
      <c r="B62" s="97" t="s">
        <v>102</v>
      </c>
      <c r="F62" s="98"/>
      <c r="H62" s="98"/>
      <c r="I62" s="123">
        <f>SUM(I56:I61)</f>
        <v>-5618</v>
      </c>
      <c r="J62" s="98"/>
      <c r="K62" s="123">
        <f>SUM(K56:K61)</f>
        <v>-10973</v>
      </c>
      <c r="L62" s="124"/>
      <c r="M62" s="126">
        <f>SUM(M56:M61)</f>
        <v>-3745</v>
      </c>
      <c r="N62" s="124"/>
      <c r="O62" s="123">
        <f>SUM(O56:O61)</f>
        <v>-17034</v>
      </c>
      <c r="P62" s="98"/>
      <c r="Q62" s="123">
        <f>SUM(Q56:Q61)</f>
        <v>-4258.5</v>
      </c>
      <c r="R62" s="98"/>
      <c r="S62" s="123">
        <f>SUM(S56:S61)</f>
        <v>-17033464</v>
      </c>
      <c r="T62" s="124"/>
      <c r="U62" s="123">
        <f>SUM(U56:U61)</f>
        <v>-17424</v>
      </c>
      <c r="V62" s="96"/>
      <c r="W62" s="123">
        <f>SUM(W56:W61)</f>
        <v>-4356</v>
      </c>
      <c r="X62" s="98"/>
      <c r="Y62" s="98"/>
      <c r="Z62" s="98"/>
      <c r="AA62" s="98"/>
      <c r="AB62" s="98"/>
      <c r="AC62" s="98"/>
      <c r="AD62" s="98"/>
      <c r="AE62" s="98"/>
      <c r="AF62" s="98"/>
      <c r="AG62" s="98"/>
      <c r="AH62" s="98"/>
    </row>
    <row r="63" spans="6:34" s="97" customFormat="1" ht="16.5" customHeight="1">
      <c r="F63" s="98"/>
      <c r="H63" s="98"/>
      <c r="I63" s="98"/>
      <c r="J63" s="98"/>
      <c r="K63" s="98"/>
      <c r="L63" s="98"/>
      <c r="M63" s="106"/>
      <c r="N63" s="98"/>
      <c r="O63" s="124"/>
      <c r="P63" s="98"/>
      <c r="Q63" s="98"/>
      <c r="R63" s="98"/>
      <c r="S63" s="124"/>
      <c r="T63" s="124"/>
      <c r="U63" s="124"/>
      <c r="V63" s="96"/>
      <c r="X63" s="98"/>
      <c r="Y63" s="98"/>
      <c r="Z63" s="98"/>
      <c r="AA63" s="98"/>
      <c r="AB63" s="98"/>
      <c r="AC63" s="98"/>
      <c r="AD63" s="98"/>
      <c r="AE63" s="98"/>
      <c r="AF63" s="98"/>
      <c r="AG63" s="98"/>
      <c r="AH63" s="98"/>
    </row>
    <row r="64" spans="6:34" s="97" customFormat="1" ht="15">
      <c r="F64" s="98"/>
      <c r="H64" s="98"/>
      <c r="I64" s="98"/>
      <c r="J64" s="98"/>
      <c r="K64" s="98"/>
      <c r="L64" s="98"/>
      <c r="M64" s="106"/>
      <c r="N64" s="98"/>
      <c r="O64" s="124"/>
      <c r="P64" s="98"/>
      <c r="Q64" s="98"/>
      <c r="R64" s="98"/>
      <c r="S64" s="124"/>
      <c r="T64" s="124"/>
      <c r="U64" s="124"/>
      <c r="V64" s="96"/>
      <c r="X64" s="98"/>
      <c r="Y64" s="98"/>
      <c r="Z64" s="98"/>
      <c r="AA64" s="98"/>
      <c r="AB64" s="98"/>
      <c r="AC64" s="98"/>
      <c r="AD64" s="98"/>
      <c r="AE64" s="98"/>
      <c r="AF64" s="98"/>
      <c r="AG64" s="98"/>
      <c r="AH64" s="98"/>
    </row>
    <row r="65" spans="1:34" s="97" customFormat="1" ht="16.5" customHeight="1">
      <c r="A65" s="107" t="s">
        <v>103</v>
      </c>
      <c r="F65" s="98"/>
      <c r="H65" s="98"/>
      <c r="I65" s="124">
        <f>I42+I52+I62</f>
        <v>-6143.2264749999995</v>
      </c>
      <c r="J65" s="98"/>
      <c r="K65" s="124">
        <f>K42+K52+K62</f>
        <v>4464</v>
      </c>
      <c r="L65" s="124"/>
      <c r="M65" s="127">
        <f>M42+M52+M62</f>
        <v>6888</v>
      </c>
      <c r="N65" s="124"/>
      <c r="O65" s="124">
        <f>O42+O52+O62</f>
        <v>5098</v>
      </c>
      <c r="P65" s="98"/>
      <c r="Q65" s="124">
        <f>Q42+Q52+Q62</f>
        <v>2608</v>
      </c>
      <c r="R65" s="98"/>
      <c r="S65" s="124">
        <f>S42+S52+S62</f>
        <v>5097334</v>
      </c>
      <c r="T65" s="124"/>
      <c r="U65" s="124">
        <f>U42+U52+U62</f>
        <v>-12389</v>
      </c>
      <c r="V65" s="96"/>
      <c r="W65" s="124">
        <f>W42+W52+W62</f>
        <v>-6624</v>
      </c>
      <c r="X65" s="98"/>
      <c r="Y65" s="98"/>
      <c r="Z65" s="98"/>
      <c r="AA65" s="98"/>
      <c r="AB65" s="98"/>
      <c r="AC65" s="98"/>
      <c r="AD65" s="98"/>
      <c r="AE65" s="98"/>
      <c r="AF65" s="98"/>
      <c r="AG65" s="98"/>
      <c r="AH65" s="98"/>
    </row>
    <row r="66" spans="2:34" s="97" customFormat="1" ht="16.5" customHeight="1">
      <c r="B66" s="97" t="s">
        <v>107</v>
      </c>
      <c r="F66" s="98"/>
      <c r="H66" s="98"/>
      <c r="I66" s="115">
        <v>-361</v>
      </c>
      <c r="J66" s="98"/>
      <c r="K66" s="123">
        <f>6331-11950</f>
        <v>-5619</v>
      </c>
      <c r="L66" s="124"/>
      <c r="M66" s="126">
        <v>-8835</v>
      </c>
      <c r="N66" s="124"/>
      <c r="O66" s="123">
        <v>-8835</v>
      </c>
      <c r="P66" s="98"/>
      <c r="Q66" s="123">
        <v>-8835</v>
      </c>
      <c r="R66" s="98"/>
      <c r="S66" s="123">
        <v>-8834644</v>
      </c>
      <c r="T66" s="124"/>
      <c r="U66" s="123">
        <v>-11885</v>
      </c>
      <c r="V66" s="96"/>
      <c r="W66" s="115">
        <v>-11885</v>
      </c>
      <c r="X66" s="98"/>
      <c r="Y66" s="98"/>
      <c r="Z66" s="98"/>
      <c r="AA66" s="98"/>
      <c r="AB66" s="98"/>
      <c r="AC66" s="98"/>
      <c r="AD66" s="98"/>
      <c r="AE66" s="98"/>
      <c r="AF66" s="98"/>
      <c r="AG66" s="98"/>
      <c r="AH66" s="98"/>
    </row>
    <row r="67" spans="6:34" s="97" customFormat="1" ht="16.5" customHeight="1">
      <c r="F67" s="98"/>
      <c r="H67" s="98"/>
      <c r="I67" s="98"/>
      <c r="J67" s="98"/>
      <c r="K67" s="98"/>
      <c r="L67" s="98"/>
      <c r="M67" s="106"/>
      <c r="N67" s="98"/>
      <c r="O67" s="124"/>
      <c r="P67" s="98"/>
      <c r="Q67" s="98"/>
      <c r="R67" s="98"/>
      <c r="S67" s="124"/>
      <c r="T67" s="124"/>
      <c r="U67" s="124"/>
      <c r="V67" s="96"/>
      <c r="X67" s="98"/>
      <c r="Y67" s="98"/>
      <c r="Z67" s="98"/>
      <c r="AA67" s="98"/>
      <c r="AB67" s="98"/>
      <c r="AC67" s="98"/>
      <c r="AD67" s="98"/>
      <c r="AE67" s="98"/>
      <c r="AF67" s="98"/>
      <c r="AG67" s="98"/>
      <c r="AH67" s="98"/>
    </row>
    <row r="68" spans="1:34" s="97" customFormat="1" ht="16.5" customHeight="1">
      <c r="A68" s="107" t="s">
        <v>104</v>
      </c>
      <c r="F68" s="98"/>
      <c r="H68" s="98"/>
      <c r="I68" s="98"/>
      <c r="J68" s="98"/>
      <c r="K68" s="98"/>
      <c r="L68" s="98"/>
      <c r="M68" s="106"/>
      <c r="N68" s="98"/>
      <c r="O68" s="124"/>
      <c r="P68" s="98"/>
      <c r="Q68" s="98"/>
      <c r="R68" s="98"/>
      <c r="S68" s="124"/>
      <c r="T68" s="124"/>
      <c r="U68" s="124"/>
      <c r="V68" s="96"/>
      <c r="X68" s="98"/>
      <c r="Y68" s="98"/>
      <c r="Z68" s="98"/>
      <c r="AA68" s="98"/>
      <c r="AB68" s="98"/>
      <c r="AC68" s="98"/>
      <c r="AD68" s="98"/>
      <c r="AE68" s="98"/>
      <c r="AF68" s="98"/>
      <c r="AG68" s="98"/>
      <c r="AH68" s="98"/>
    </row>
    <row r="69" spans="1:34" s="97" customFormat="1" ht="16.5" customHeight="1" thickBot="1">
      <c r="A69" s="107" t="s">
        <v>108</v>
      </c>
      <c r="B69" s="108"/>
      <c r="F69" s="98"/>
      <c r="H69" s="98"/>
      <c r="I69" s="128">
        <f>SUM(I65:I68)</f>
        <v>-6504.2264749999995</v>
      </c>
      <c r="J69" s="98"/>
      <c r="K69" s="128">
        <f>SUM(K65:K68)</f>
        <v>-1155</v>
      </c>
      <c r="L69" s="124"/>
      <c r="M69" s="129">
        <f>SUM(M65:M68)</f>
        <v>-1947</v>
      </c>
      <c r="N69" s="124"/>
      <c r="O69" s="128">
        <f>SUM(O65:O68)</f>
        <v>-3737</v>
      </c>
      <c r="P69" s="98"/>
      <c r="Q69" s="128">
        <f>SUM(Q65:Q68)</f>
        <v>-6227</v>
      </c>
      <c r="R69" s="98"/>
      <c r="S69" s="130">
        <f>SUM(S65:S68)</f>
        <v>-3737310</v>
      </c>
      <c r="T69" s="124"/>
      <c r="U69" s="128">
        <f>SUM(U65:U68)</f>
        <v>-24274</v>
      </c>
      <c r="V69" s="96"/>
      <c r="W69" s="128">
        <f>SUM(W65:W68)</f>
        <v>-18509</v>
      </c>
      <c r="X69" s="98"/>
      <c r="Y69" s="98"/>
      <c r="Z69" s="98"/>
      <c r="AA69" s="98"/>
      <c r="AB69" s="98"/>
      <c r="AC69" s="98"/>
      <c r="AD69" s="98"/>
      <c r="AE69" s="98"/>
      <c r="AF69" s="98"/>
      <c r="AG69" s="98"/>
      <c r="AH69" s="98"/>
    </row>
    <row r="70" spans="1:34" s="97" customFormat="1" ht="16.5" customHeight="1">
      <c r="A70" s="107"/>
      <c r="B70" s="108"/>
      <c r="F70" s="98"/>
      <c r="H70" s="98"/>
      <c r="I70" s="98"/>
      <c r="J70" s="98"/>
      <c r="K70" s="98"/>
      <c r="L70" s="98"/>
      <c r="M70" s="127"/>
      <c r="N70" s="124"/>
      <c r="O70" s="124"/>
      <c r="P70" s="98"/>
      <c r="Q70" s="124"/>
      <c r="R70" s="98"/>
      <c r="S70" s="124"/>
      <c r="T70" s="124"/>
      <c r="U70" s="124"/>
      <c r="V70" s="96"/>
      <c r="W70" s="124"/>
      <c r="X70" s="98"/>
      <c r="Y70" s="98"/>
      <c r="Z70" s="98"/>
      <c r="AA70" s="98"/>
      <c r="AB70" s="98"/>
      <c r="AC70" s="98"/>
      <c r="AD70" s="98"/>
      <c r="AE70" s="98"/>
      <c r="AF70" s="98"/>
      <c r="AG70" s="98"/>
      <c r="AH70" s="98"/>
    </row>
    <row r="71" spans="1:34" s="97" customFormat="1" ht="16.5" customHeight="1">
      <c r="A71" s="107" t="s">
        <v>104</v>
      </c>
      <c r="F71" s="98"/>
      <c r="H71" s="98"/>
      <c r="I71" s="98"/>
      <c r="J71" s="98"/>
      <c r="K71" s="98"/>
      <c r="L71" s="98"/>
      <c r="M71" s="127"/>
      <c r="N71" s="124"/>
      <c r="O71" s="124"/>
      <c r="P71" s="98"/>
      <c r="Q71" s="124"/>
      <c r="R71" s="98"/>
      <c r="S71" s="124"/>
      <c r="T71" s="124"/>
      <c r="U71" s="124"/>
      <c r="V71" s="96"/>
      <c r="W71" s="124"/>
      <c r="X71" s="98"/>
      <c r="Y71" s="98"/>
      <c r="Z71" s="98"/>
      <c r="AA71" s="98"/>
      <c r="AB71" s="98"/>
      <c r="AC71" s="98"/>
      <c r="AD71" s="98"/>
      <c r="AE71" s="98"/>
      <c r="AF71" s="98"/>
      <c r="AG71" s="98"/>
      <c r="AH71" s="98"/>
    </row>
    <row r="72" spans="1:34" s="97" customFormat="1" ht="16.5" customHeight="1">
      <c r="A72" s="107" t="s">
        <v>109</v>
      </c>
      <c r="B72" s="108"/>
      <c r="F72" s="98"/>
      <c r="H72" s="98"/>
      <c r="I72" s="98"/>
      <c r="J72" s="98"/>
      <c r="K72" s="98"/>
      <c r="L72" s="98"/>
      <c r="M72" s="127"/>
      <c r="N72" s="124"/>
      <c r="O72" s="124"/>
      <c r="P72" s="98"/>
      <c r="Q72" s="124"/>
      <c r="R72" s="98"/>
      <c r="S72" s="124"/>
      <c r="T72" s="124"/>
      <c r="U72" s="124"/>
      <c r="V72" s="96"/>
      <c r="W72" s="124"/>
      <c r="X72" s="98"/>
      <c r="Y72" s="98"/>
      <c r="Z72" s="98"/>
      <c r="AA72" s="98"/>
      <c r="AB72" s="98"/>
      <c r="AC72" s="98"/>
      <c r="AD72" s="98"/>
      <c r="AE72" s="98"/>
      <c r="AF72" s="98"/>
      <c r="AG72" s="98"/>
      <c r="AH72" s="98"/>
    </row>
    <row r="73" spans="1:34" s="97" customFormat="1" ht="16.5" customHeight="1">
      <c r="A73" s="107"/>
      <c r="B73" s="108"/>
      <c r="F73" s="98"/>
      <c r="H73" s="98"/>
      <c r="I73" s="98"/>
      <c r="J73" s="98"/>
      <c r="K73" s="98"/>
      <c r="L73" s="98"/>
      <c r="M73" s="127"/>
      <c r="N73" s="124"/>
      <c r="O73" s="124"/>
      <c r="P73" s="98"/>
      <c r="Q73" s="124"/>
      <c r="R73" s="98"/>
      <c r="S73" s="124"/>
      <c r="T73" s="124"/>
      <c r="U73" s="124"/>
      <c r="V73" s="96"/>
      <c r="W73" s="124"/>
      <c r="X73" s="98"/>
      <c r="Y73" s="98"/>
      <c r="Z73" s="98"/>
      <c r="AA73" s="98"/>
      <c r="AB73" s="98"/>
      <c r="AC73" s="98"/>
      <c r="AD73" s="98"/>
      <c r="AE73" s="98"/>
      <c r="AF73" s="98"/>
      <c r="AG73" s="98"/>
      <c r="AH73" s="98"/>
    </row>
    <row r="74" spans="1:34" s="97" customFormat="1" ht="16.5" customHeight="1">
      <c r="A74" s="107"/>
      <c r="B74" s="122" t="s">
        <v>154</v>
      </c>
      <c r="F74" s="98"/>
      <c r="H74" s="98"/>
      <c r="I74" s="98">
        <f>'[1]bs-summary'!AC46+'[1]bs-summary'!AC47</f>
        <v>0</v>
      </c>
      <c r="J74" s="98"/>
      <c r="K74" s="98">
        <v>9878</v>
      </c>
      <c r="L74" s="98"/>
      <c r="M74" s="127">
        <v>10090</v>
      </c>
      <c r="N74" s="124"/>
      <c r="O74" s="124"/>
      <c r="P74" s="98"/>
      <c r="Q74" s="124">
        <v>7739</v>
      </c>
      <c r="R74" s="98"/>
      <c r="S74" s="124"/>
      <c r="T74" s="124"/>
      <c r="U74" s="124"/>
      <c r="V74" s="96"/>
      <c r="W74" s="124"/>
      <c r="X74" s="98"/>
      <c r="Y74" s="98"/>
      <c r="Z74" s="98"/>
      <c r="AA74" s="98"/>
      <c r="AB74" s="98"/>
      <c r="AC74" s="98"/>
      <c r="AD74" s="98"/>
      <c r="AE74" s="98"/>
      <c r="AF74" s="98"/>
      <c r="AG74" s="98"/>
      <c r="AH74" s="98"/>
    </row>
    <row r="75" spans="1:34" s="97" customFormat="1" ht="16.5" customHeight="1">
      <c r="A75" s="107"/>
      <c r="B75" s="122" t="s">
        <v>111</v>
      </c>
      <c r="F75" s="98"/>
      <c r="H75" s="98"/>
      <c r="I75" s="98">
        <f>'[1]bs-summary'!AC61</f>
        <v>0</v>
      </c>
      <c r="J75" s="98"/>
      <c r="K75" s="98">
        <v>-11033</v>
      </c>
      <c r="L75" s="98"/>
      <c r="M75" s="127">
        <v>-12037</v>
      </c>
      <c r="N75" s="124"/>
      <c r="O75" s="124"/>
      <c r="P75" s="98"/>
      <c r="Q75" s="124">
        <v>-11688</v>
      </c>
      <c r="R75" s="98"/>
      <c r="S75" s="124"/>
      <c r="T75" s="124"/>
      <c r="U75" s="124"/>
      <c r="V75" s="96"/>
      <c r="W75" s="124"/>
      <c r="X75" s="98">
        <v>12037</v>
      </c>
      <c r="Y75" s="98">
        <f>+X75+M75</f>
        <v>0</v>
      </c>
      <c r="Z75" s="98"/>
      <c r="AA75" s="98"/>
      <c r="AB75" s="98"/>
      <c r="AC75" s="98"/>
      <c r="AD75" s="98"/>
      <c r="AE75" s="98"/>
      <c r="AF75" s="98"/>
      <c r="AG75" s="98"/>
      <c r="AH75" s="98"/>
    </row>
    <row r="76" spans="1:34" s="97" customFormat="1" ht="16.5" customHeight="1" thickBot="1">
      <c r="A76" s="107"/>
      <c r="B76" s="108"/>
      <c r="F76" s="98"/>
      <c r="H76" s="98"/>
      <c r="I76" s="131">
        <f>SUM(I74:I75)</f>
        <v>0</v>
      </c>
      <c r="J76" s="98"/>
      <c r="K76" s="131">
        <f>SUM(K74:K75)</f>
        <v>-1155</v>
      </c>
      <c r="L76" s="98"/>
      <c r="M76" s="132">
        <f>+M74+M75</f>
        <v>-1947</v>
      </c>
      <c r="N76" s="124"/>
      <c r="O76" s="124"/>
      <c r="P76" s="98"/>
      <c r="Q76" s="133">
        <f>SUM(Q74:Q75)</f>
        <v>-3949</v>
      </c>
      <c r="R76" s="98"/>
      <c r="S76" s="124"/>
      <c r="T76" s="124"/>
      <c r="U76" s="124"/>
      <c r="V76" s="96"/>
      <c r="W76" s="124"/>
      <c r="X76" s="98"/>
      <c r="Y76" s="98"/>
      <c r="Z76" s="98"/>
      <c r="AA76" s="98"/>
      <c r="AB76" s="98"/>
      <c r="AC76" s="98"/>
      <c r="AD76" s="98"/>
      <c r="AE76" s="98"/>
      <c r="AF76" s="98"/>
      <c r="AG76" s="98"/>
      <c r="AH76" s="98"/>
    </row>
    <row r="77" spans="1:34" s="97" customFormat="1" ht="16.5" customHeight="1">
      <c r="A77" s="107"/>
      <c r="B77" s="108"/>
      <c r="F77" s="98"/>
      <c r="H77" s="98"/>
      <c r="I77" s="98"/>
      <c r="J77" s="98"/>
      <c r="K77" s="98"/>
      <c r="L77" s="98"/>
      <c r="M77" s="127"/>
      <c r="N77" s="124"/>
      <c r="O77" s="124"/>
      <c r="P77" s="98"/>
      <c r="Q77" s="124"/>
      <c r="R77" s="98"/>
      <c r="S77" s="124"/>
      <c r="T77" s="124"/>
      <c r="U77" s="124"/>
      <c r="V77" s="96"/>
      <c r="W77" s="124"/>
      <c r="X77" s="98"/>
      <c r="Y77" s="98"/>
      <c r="Z77" s="98"/>
      <c r="AA77" s="98"/>
      <c r="AB77" s="98"/>
      <c r="AC77" s="98"/>
      <c r="AD77" s="98"/>
      <c r="AE77" s="98"/>
      <c r="AF77" s="98"/>
      <c r="AG77" s="98"/>
      <c r="AH77" s="98"/>
    </row>
    <row r="78" spans="1:34" s="97" customFormat="1" ht="16.5" customHeight="1">
      <c r="A78" s="107"/>
      <c r="B78" s="108"/>
      <c r="F78" s="98"/>
      <c r="H78" s="98"/>
      <c r="I78" s="127">
        <f>+I69-I76</f>
        <v>-6504.2264749999995</v>
      </c>
      <c r="J78" s="98"/>
      <c r="K78" s="98">
        <f>+K69-K76</f>
        <v>0</v>
      </c>
      <c r="L78" s="98"/>
      <c r="M78" s="127">
        <f>+M69-M76</f>
        <v>0</v>
      </c>
      <c r="N78" s="124"/>
      <c r="O78" s="124"/>
      <c r="P78" s="98"/>
      <c r="Q78" s="124"/>
      <c r="R78" s="98"/>
      <c r="S78" s="124"/>
      <c r="T78" s="124"/>
      <c r="U78" s="124"/>
      <c r="V78" s="96"/>
      <c r="W78" s="124"/>
      <c r="X78" s="98"/>
      <c r="Y78" s="98"/>
      <c r="Z78" s="98"/>
      <c r="AA78" s="98"/>
      <c r="AB78" s="98"/>
      <c r="AC78" s="98"/>
      <c r="AD78" s="98"/>
      <c r="AE78" s="98"/>
      <c r="AF78" s="98"/>
      <c r="AG78" s="98"/>
      <c r="AH78" s="98"/>
    </row>
    <row r="79" spans="6:34" s="97" customFormat="1" ht="16.5" customHeight="1">
      <c r="F79" s="98"/>
      <c r="H79" s="98"/>
      <c r="I79" s="106"/>
      <c r="J79" s="98"/>
      <c r="K79" s="98"/>
      <c r="L79" s="98"/>
      <c r="M79" s="106"/>
      <c r="N79" s="98"/>
      <c r="P79" s="98"/>
      <c r="Q79" s="98"/>
      <c r="R79" s="98"/>
      <c r="T79" s="98"/>
      <c r="U79" s="98"/>
      <c r="V79" s="96"/>
      <c r="X79" s="98"/>
      <c r="Y79" s="98"/>
      <c r="Z79" s="98"/>
      <c r="AA79" s="98"/>
      <c r="AB79" s="98"/>
      <c r="AC79" s="98"/>
      <c r="AD79" s="98"/>
      <c r="AE79" s="98"/>
      <c r="AF79" s="98"/>
      <c r="AG79" s="98"/>
      <c r="AH79" s="98"/>
    </row>
    <row r="80" spans="6:34" s="97" customFormat="1" ht="16.5" customHeight="1">
      <c r="F80" s="98"/>
      <c r="H80" s="98"/>
      <c r="I80" s="106">
        <f>+I92</f>
        <v>0</v>
      </c>
      <c r="J80" s="98"/>
      <c r="K80" s="98"/>
      <c r="L80" s="98"/>
      <c r="M80" s="106">
        <f>+M92</f>
        <v>-4204</v>
      </c>
      <c r="N80" s="98"/>
      <c r="P80" s="98"/>
      <c r="Q80" s="98">
        <f>+Q92</f>
        <v>-3949</v>
      </c>
      <c r="R80" s="98"/>
      <c r="T80" s="98"/>
      <c r="U80" s="98"/>
      <c r="V80" s="96"/>
      <c r="X80" s="98"/>
      <c r="Y80" s="98"/>
      <c r="Z80" s="98"/>
      <c r="AA80" s="98"/>
      <c r="AB80" s="98"/>
      <c r="AC80" s="98"/>
      <c r="AD80" s="98"/>
      <c r="AE80" s="98"/>
      <c r="AF80" s="98"/>
      <c r="AG80" s="98"/>
      <c r="AH80" s="98"/>
    </row>
    <row r="81" spans="6:34" s="97" customFormat="1" ht="16.5" customHeight="1">
      <c r="F81" s="98"/>
      <c r="H81" s="98"/>
      <c r="I81" s="98"/>
      <c r="J81" s="98"/>
      <c r="K81" s="98"/>
      <c r="L81" s="98"/>
      <c r="M81" s="106"/>
      <c r="N81" s="98"/>
      <c r="P81" s="98"/>
      <c r="Q81" s="98"/>
      <c r="R81" s="98"/>
      <c r="T81" s="98"/>
      <c r="U81" s="98"/>
      <c r="V81" s="96"/>
      <c r="X81" s="98"/>
      <c r="Y81" s="98"/>
      <c r="Z81" s="98"/>
      <c r="AA81" s="98"/>
      <c r="AB81" s="98"/>
      <c r="AC81" s="98"/>
      <c r="AD81" s="98"/>
      <c r="AE81" s="98"/>
      <c r="AF81" s="98"/>
      <c r="AG81" s="98"/>
      <c r="AH81" s="98"/>
    </row>
    <row r="82" spans="6:34" s="97" customFormat="1" ht="16.5" customHeight="1">
      <c r="F82" s="98"/>
      <c r="H82" s="98"/>
      <c r="I82" s="98"/>
      <c r="J82" s="98"/>
      <c r="K82" s="98"/>
      <c r="L82" s="98"/>
      <c r="M82" s="106">
        <f>+M69-M80</f>
        <v>2257</v>
      </c>
      <c r="N82" s="98"/>
      <c r="P82" s="98"/>
      <c r="Q82" s="98">
        <f>+Q69-Q80</f>
        <v>-2278</v>
      </c>
      <c r="R82" s="98"/>
      <c r="T82" s="98"/>
      <c r="U82" s="98"/>
      <c r="V82" s="96"/>
      <c r="X82" s="98"/>
      <c r="Y82" s="98"/>
      <c r="Z82" s="98"/>
      <c r="AA82" s="98"/>
      <c r="AB82" s="98"/>
      <c r="AC82" s="98"/>
      <c r="AD82" s="98"/>
      <c r="AE82" s="98"/>
      <c r="AF82" s="98"/>
      <c r="AG82" s="98"/>
      <c r="AH82" s="98"/>
    </row>
    <row r="83" spans="6:34" s="97" customFormat="1" ht="15">
      <c r="F83" s="98"/>
      <c r="H83" s="98"/>
      <c r="I83" s="98"/>
      <c r="J83" s="98"/>
      <c r="K83" s="98"/>
      <c r="L83" s="98"/>
      <c r="M83" s="106"/>
      <c r="N83" s="98"/>
      <c r="P83" s="98"/>
      <c r="Q83" s="98"/>
      <c r="R83" s="98"/>
      <c r="T83" s="98"/>
      <c r="U83" s="98"/>
      <c r="X83" s="98"/>
      <c r="Y83" s="98"/>
      <c r="Z83" s="98"/>
      <c r="AA83" s="98"/>
      <c r="AB83" s="98"/>
      <c r="AC83" s="98"/>
      <c r="AD83" s="98"/>
      <c r="AE83" s="98"/>
      <c r="AF83" s="98"/>
      <c r="AG83" s="98"/>
      <c r="AH83" s="98"/>
    </row>
    <row r="87" ht="14.25">
      <c r="M87" s="89">
        <v>6990</v>
      </c>
    </row>
    <row r="88" ht="14.25">
      <c r="M88" s="89">
        <v>662</v>
      </c>
    </row>
    <row r="89" ht="14.25">
      <c r="M89" s="89">
        <v>4479</v>
      </c>
    </row>
    <row r="90" spans="8:17" ht="15">
      <c r="H90" s="88" t="s">
        <v>155</v>
      </c>
      <c r="M90" s="134">
        <f>SUM(M87:M89)</f>
        <v>12131</v>
      </c>
      <c r="N90" s="135"/>
      <c r="Q90" s="88">
        <v>11688</v>
      </c>
    </row>
    <row r="91" spans="8:17" ht="15">
      <c r="H91" s="88" t="s">
        <v>156</v>
      </c>
      <c r="M91" s="134">
        <f>8661-734</f>
        <v>7927</v>
      </c>
      <c r="N91" s="135"/>
      <c r="Q91" s="88">
        <f>7739</f>
        <v>7739</v>
      </c>
    </row>
    <row r="92" spans="13:17" ht="14.25">
      <c r="M92" s="89">
        <f>-M90+M91</f>
        <v>-4204</v>
      </c>
      <c r="Q92" s="88">
        <f>-Q90+Q91</f>
        <v>-3949</v>
      </c>
    </row>
    <row r="93" ht="14.25">
      <c r="M93" s="89">
        <v>53</v>
      </c>
    </row>
    <row r="94" ht="14.25">
      <c r="M94" s="89">
        <f>+M92+M93</f>
        <v>-4151</v>
      </c>
    </row>
  </sheetData>
  <mergeCells count="1">
    <mergeCell ref="A2:G2"/>
  </mergeCells>
  <printOptions/>
  <pageMargins left="0.75" right="0.75" top="1" bottom="1" header="0.5" footer="0.5"/>
  <pageSetup horizontalDpi="300" verticalDpi="300" orientation="portrait" scale="87" r:id="rId1"/>
  <rowBreaks count="1" manualBreakCount="1">
    <brk id="43" max="10" man="1"/>
  </rowBreaks>
  <colBreaks count="2" manualBreakCount="2">
    <brk id="12" max="73" man="1"/>
    <brk id="13" max="72" man="1"/>
  </colBreaks>
</worksheet>
</file>

<file path=xl/worksheets/sheet3.xml><?xml version="1.0" encoding="utf-8"?>
<worksheet xmlns="http://schemas.openxmlformats.org/spreadsheetml/2006/main" xmlns:r="http://schemas.openxmlformats.org/officeDocument/2006/relationships">
  <dimension ref="A1:AD77"/>
  <sheetViews>
    <sheetView zoomScaleSheetLayoutView="100" workbookViewId="0" topLeftCell="A1">
      <selection activeCell="I15" sqref="I15"/>
    </sheetView>
  </sheetViews>
  <sheetFormatPr defaultColWidth="9.140625" defaultRowHeight="12.75" customHeight="1"/>
  <cols>
    <col min="1" max="1" width="2.140625" style="45" customWidth="1"/>
    <col min="2" max="2" width="2.28125" style="45" customWidth="1"/>
    <col min="3" max="8" width="5.7109375" style="45" customWidth="1"/>
    <col min="9" max="9" width="8.00390625" style="45" customWidth="1"/>
    <col min="10" max="10" width="1.1484375" style="45" customWidth="1"/>
    <col min="11" max="11" width="8.421875" style="45" hidden="1" customWidth="1"/>
    <col min="12" max="12" width="5.7109375" style="45" hidden="1" customWidth="1"/>
    <col min="13" max="13" width="8.140625" style="45" customWidth="1"/>
    <col min="14" max="14" width="5.7109375" style="45" customWidth="1"/>
    <col min="15" max="15" width="8.421875" style="45" hidden="1" customWidth="1"/>
    <col min="16" max="16" width="0" style="45" hidden="1" customWidth="1"/>
    <col min="17" max="17" width="6.140625" style="45" hidden="1" customWidth="1"/>
    <col min="18" max="18" width="0" style="45" hidden="1" customWidth="1"/>
    <col min="19" max="19" width="6.00390625" style="45" hidden="1" customWidth="1"/>
    <col min="20" max="16384" width="5.7109375" style="45" customWidth="1"/>
  </cols>
  <sheetData>
    <row r="1" s="78" customFormat="1" ht="12.75" customHeight="1">
      <c r="A1" s="77" t="s">
        <v>9</v>
      </c>
    </row>
    <row r="2" s="78" customFormat="1" ht="12.75" customHeight="1">
      <c r="A2" s="77"/>
    </row>
    <row r="3" spans="1:30" s="78" customFormat="1" ht="12.75" customHeight="1">
      <c r="A3" s="79" t="s">
        <v>113</v>
      </c>
      <c r="B3" s="80"/>
      <c r="C3" s="80"/>
      <c r="D3" s="80"/>
      <c r="E3" s="80"/>
      <c r="F3" s="81"/>
      <c r="G3" s="80"/>
      <c r="H3" s="81"/>
      <c r="I3" s="81"/>
      <c r="J3" s="81"/>
      <c r="K3" s="82"/>
      <c r="L3" s="81"/>
      <c r="M3" s="81"/>
      <c r="N3" s="81"/>
      <c r="O3" s="82"/>
      <c r="P3" s="81"/>
      <c r="Q3" s="81"/>
      <c r="R3" s="83"/>
      <c r="T3" s="84"/>
      <c r="U3" s="84"/>
      <c r="V3" s="84"/>
      <c r="W3" s="84"/>
      <c r="X3" s="84"/>
      <c r="Y3" s="84"/>
      <c r="Z3" s="84"/>
      <c r="AA3" s="84"/>
      <c r="AB3" s="84"/>
      <c r="AC3" s="84"/>
      <c r="AD3" s="84"/>
    </row>
    <row r="4" spans="1:30" s="78" customFormat="1" ht="12.75" customHeight="1">
      <c r="A4" s="79" t="s">
        <v>130</v>
      </c>
      <c r="B4" s="80"/>
      <c r="C4" s="80"/>
      <c r="D4" s="80"/>
      <c r="E4" s="80"/>
      <c r="F4" s="81"/>
      <c r="G4" s="80"/>
      <c r="H4" s="81"/>
      <c r="I4" s="81"/>
      <c r="J4" s="81"/>
      <c r="K4" s="82"/>
      <c r="L4" s="81"/>
      <c r="M4" s="81"/>
      <c r="N4" s="81"/>
      <c r="O4" s="82"/>
      <c r="P4" s="81"/>
      <c r="Q4" s="81"/>
      <c r="R4" s="83"/>
      <c r="T4" s="84"/>
      <c r="U4" s="84"/>
      <c r="V4" s="84"/>
      <c r="W4" s="84"/>
      <c r="X4" s="84"/>
      <c r="Y4" s="84"/>
      <c r="Z4" s="84"/>
      <c r="AA4" s="84"/>
      <c r="AB4" s="84"/>
      <c r="AC4" s="84"/>
      <c r="AD4" s="84"/>
    </row>
    <row r="5" spans="1:30" s="78" customFormat="1" ht="12.75" customHeight="1">
      <c r="A5" s="79"/>
      <c r="B5" s="80"/>
      <c r="C5" s="80"/>
      <c r="D5" s="80"/>
      <c r="E5" s="80"/>
      <c r="F5" s="81"/>
      <c r="G5" s="80"/>
      <c r="H5" s="81"/>
      <c r="I5" s="81"/>
      <c r="J5" s="81"/>
      <c r="K5" s="82"/>
      <c r="L5" s="81"/>
      <c r="M5" s="81"/>
      <c r="N5" s="81"/>
      <c r="O5" s="82"/>
      <c r="P5" s="81"/>
      <c r="Q5" s="81"/>
      <c r="R5" s="83"/>
      <c r="T5" s="84"/>
      <c r="U5" s="84"/>
      <c r="V5" s="84"/>
      <c r="W5" s="84"/>
      <c r="X5" s="84"/>
      <c r="Y5" s="84"/>
      <c r="Z5" s="84"/>
      <c r="AA5" s="84"/>
      <c r="AB5" s="84"/>
      <c r="AC5" s="84"/>
      <c r="AD5" s="84"/>
    </row>
    <row r="6" spans="1:30" s="78" customFormat="1" ht="12.75" customHeight="1">
      <c r="A6" s="79"/>
      <c r="B6" s="80"/>
      <c r="C6" s="80"/>
      <c r="D6" s="80"/>
      <c r="E6" s="80"/>
      <c r="F6" s="81"/>
      <c r="G6" s="80"/>
      <c r="H6" s="81"/>
      <c r="I6" s="81"/>
      <c r="J6" s="81"/>
      <c r="K6" s="82"/>
      <c r="L6" s="81"/>
      <c r="M6" s="81"/>
      <c r="N6" s="81"/>
      <c r="O6" s="82"/>
      <c r="P6" s="81"/>
      <c r="Q6" s="81"/>
      <c r="R6" s="83"/>
      <c r="T6" s="84"/>
      <c r="U6" s="84"/>
      <c r="V6" s="84"/>
      <c r="W6" s="84"/>
      <c r="X6" s="84"/>
      <c r="Y6" s="84"/>
      <c r="Z6" s="84"/>
      <c r="AA6" s="84"/>
      <c r="AB6" s="84"/>
      <c r="AC6" s="84"/>
      <c r="AD6" s="84"/>
    </row>
    <row r="7" spans="1:30" ht="12.75" customHeight="1">
      <c r="A7" s="47"/>
      <c r="B7" s="40"/>
      <c r="C7" s="40"/>
      <c r="D7" s="40"/>
      <c r="E7" s="40"/>
      <c r="F7" s="42"/>
      <c r="G7" s="40"/>
      <c r="H7" s="42"/>
      <c r="I7" s="42"/>
      <c r="J7" s="42"/>
      <c r="K7" s="43"/>
      <c r="L7" s="42"/>
      <c r="M7" s="42"/>
      <c r="N7" s="42"/>
      <c r="O7" s="43"/>
      <c r="P7" s="42"/>
      <c r="Q7" s="42"/>
      <c r="R7" s="44"/>
      <c r="T7" s="46"/>
      <c r="U7" s="46"/>
      <c r="V7" s="46"/>
      <c r="W7" s="46"/>
      <c r="X7" s="46"/>
      <c r="Y7" s="46"/>
      <c r="Z7" s="46"/>
      <c r="AA7" s="46"/>
      <c r="AB7" s="46"/>
      <c r="AC7" s="46"/>
      <c r="AD7" s="46"/>
    </row>
    <row r="8" spans="1:30" ht="12.75" customHeight="1">
      <c r="A8" s="47"/>
      <c r="B8" s="40"/>
      <c r="C8" s="40"/>
      <c r="D8" s="40"/>
      <c r="E8" s="40"/>
      <c r="F8" s="42"/>
      <c r="G8" s="40"/>
      <c r="H8" s="42"/>
      <c r="I8" s="42"/>
      <c r="J8" s="42"/>
      <c r="K8" s="43"/>
      <c r="L8" s="42"/>
      <c r="M8" s="42"/>
      <c r="N8" s="42"/>
      <c r="O8" s="43"/>
      <c r="P8" s="42"/>
      <c r="R8" s="44"/>
      <c r="T8" s="46"/>
      <c r="U8" s="46"/>
      <c r="V8" s="46"/>
      <c r="W8" s="46"/>
      <c r="X8" s="46"/>
      <c r="Y8" s="46"/>
      <c r="Z8" s="46"/>
      <c r="AA8" s="46"/>
      <c r="AB8" s="46"/>
      <c r="AC8" s="46"/>
      <c r="AD8" s="46"/>
    </row>
    <row r="9" spans="6:30" s="1" customFormat="1" ht="12.75" customHeight="1">
      <c r="F9" s="7"/>
      <c r="H9" s="7"/>
      <c r="I9" s="85">
        <v>38077</v>
      </c>
      <c r="J9" s="8"/>
      <c r="K9" s="4" t="s">
        <v>76</v>
      </c>
      <c r="L9" s="8"/>
      <c r="M9" s="86">
        <v>37711</v>
      </c>
      <c r="N9" s="7"/>
      <c r="O9" s="53" t="s">
        <v>76</v>
      </c>
      <c r="P9" s="54"/>
      <c r="Q9" s="53" t="s">
        <v>105</v>
      </c>
      <c r="R9" s="55"/>
      <c r="T9" s="7"/>
      <c r="U9" s="7"/>
      <c r="V9" s="7"/>
      <c r="W9" s="7"/>
      <c r="X9" s="7"/>
      <c r="Y9" s="7"/>
      <c r="Z9" s="7"/>
      <c r="AA9" s="7"/>
      <c r="AB9" s="7"/>
      <c r="AC9" s="7"/>
      <c r="AD9" s="7"/>
    </row>
    <row r="10" spans="6:30" s="1" customFormat="1" ht="12.75" customHeight="1">
      <c r="F10" s="7"/>
      <c r="H10" s="7"/>
      <c r="I10" s="53" t="s">
        <v>53</v>
      </c>
      <c r="J10" s="4"/>
      <c r="K10" s="4" t="s">
        <v>53</v>
      </c>
      <c r="L10" s="7"/>
      <c r="M10" s="53" t="s">
        <v>53</v>
      </c>
      <c r="N10" s="7"/>
      <c r="O10" s="53" t="s">
        <v>32</v>
      </c>
      <c r="P10" s="8"/>
      <c r="Q10" s="53" t="s">
        <v>32</v>
      </c>
      <c r="R10" s="55"/>
      <c r="T10" s="7"/>
      <c r="U10" s="7"/>
      <c r="V10" s="7"/>
      <c r="W10" s="7"/>
      <c r="X10" s="7"/>
      <c r="Y10" s="7"/>
      <c r="Z10" s="7"/>
      <c r="AA10" s="7"/>
      <c r="AB10" s="7"/>
      <c r="AC10" s="7"/>
      <c r="AD10" s="7"/>
    </row>
    <row r="11" spans="6:30" s="1" customFormat="1" ht="12.75" customHeight="1">
      <c r="F11" s="7"/>
      <c r="H11" s="7"/>
      <c r="I11" s="53"/>
      <c r="J11" s="4"/>
      <c r="K11" s="4"/>
      <c r="L11" s="7"/>
      <c r="M11" s="53"/>
      <c r="N11" s="7"/>
      <c r="O11" s="53"/>
      <c r="P11" s="8"/>
      <c r="Q11" s="53"/>
      <c r="R11" s="55"/>
      <c r="T11" s="7"/>
      <c r="U11" s="7"/>
      <c r="V11" s="7"/>
      <c r="W11" s="7"/>
      <c r="X11" s="7"/>
      <c r="Y11" s="7"/>
      <c r="Z11" s="7"/>
      <c r="AA11" s="7"/>
      <c r="AB11" s="7"/>
      <c r="AC11" s="7"/>
      <c r="AD11" s="7"/>
    </row>
    <row r="12" spans="6:30" s="1" customFormat="1" ht="12.75" customHeight="1">
      <c r="F12" s="7"/>
      <c r="H12" s="7"/>
      <c r="I12" s="53"/>
      <c r="J12" s="4"/>
      <c r="K12" s="4"/>
      <c r="L12" s="7"/>
      <c r="M12" s="53"/>
      <c r="N12" s="7"/>
      <c r="O12" s="53"/>
      <c r="P12" s="8"/>
      <c r="Q12" s="53"/>
      <c r="R12" s="55"/>
      <c r="T12" s="7"/>
      <c r="U12" s="7"/>
      <c r="V12" s="7"/>
      <c r="W12" s="7"/>
      <c r="X12" s="7"/>
      <c r="Y12" s="7"/>
      <c r="Z12" s="7"/>
      <c r="AA12" s="7"/>
      <c r="AB12" s="7"/>
      <c r="AC12" s="7"/>
      <c r="AD12" s="7"/>
    </row>
    <row r="13" spans="6:30" ht="12.75" customHeight="1">
      <c r="F13" s="46"/>
      <c r="H13" s="46"/>
      <c r="I13" s="46"/>
      <c r="J13" s="46"/>
      <c r="K13" s="48"/>
      <c r="L13" s="46"/>
      <c r="M13" s="46"/>
      <c r="N13" s="46"/>
      <c r="O13" s="48"/>
      <c r="P13" s="49"/>
      <c r="Q13" s="49"/>
      <c r="R13" s="44"/>
      <c r="T13" s="46"/>
      <c r="U13" s="46"/>
      <c r="V13" s="46"/>
      <c r="W13" s="46"/>
      <c r="X13" s="46"/>
      <c r="Y13" s="46"/>
      <c r="Z13" s="46"/>
      <c r="AA13" s="46"/>
      <c r="AB13" s="46"/>
      <c r="AC13" s="46"/>
      <c r="AD13" s="46"/>
    </row>
    <row r="14" spans="1:30" s="3" customFormat="1" ht="12.75" customHeight="1">
      <c r="A14" s="56" t="s">
        <v>77</v>
      </c>
      <c r="B14" s="1"/>
      <c r="F14" s="12"/>
      <c r="H14" s="12"/>
      <c r="I14" s="12"/>
      <c r="J14" s="12"/>
      <c r="K14" s="50"/>
      <c r="L14" s="12"/>
      <c r="M14" s="12"/>
      <c r="N14" s="12"/>
      <c r="O14" s="50"/>
      <c r="P14" s="52"/>
      <c r="Q14" s="52"/>
      <c r="R14" s="51"/>
      <c r="T14" s="12"/>
      <c r="U14" s="12"/>
      <c r="V14" s="12"/>
      <c r="W14" s="12"/>
      <c r="X14" s="12"/>
      <c r="Y14" s="12"/>
      <c r="Z14" s="12"/>
      <c r="AA14" s="12"/>
      <c r="AB14" s="12"/>
      <c r="AC14" s="12"/>
      <c r="AD14" s="12"/>
    </row>
    <row r="15" spans="2:30" s="3" customFormat="1" ht="12.75" customHeight="1">
      <c r="B15" s="57" t="s">
        <v>106</v>
      </c>
      <c r="F15" s="12"/>
      <c r="H15" s="12"/>
      <c r="I15" s="11">
        <v>557</v>
      </c>
      <c r="J15" s="58"/>
      <c r="K15" s="28">
        <v>-65</v>
      </c>
      <c r="L15" s="58"/>
      <c r="M15" s="11">
        <v>-166</v>
      </c>
      <c r="N15" s="12"/>
      <c r="O15" s="21">
        <v>-64573</v>
      </c>
      <c r="P15" s="59"/>
      <c r="Q15" s="59">
        <v>3889</v>
      </c>
      <c r="R15" s="51"/>
      <c r="S15" s="3">
        <f>+Q15/4</f>
        <v>972.25</v>
      </c>
      <c r="T15" s="12"/>
      <c r="U15" s="12"/>
      <c r="V15" s="12"/>
      <c r="W15" s="12"/>
      <c r="X15" s="12"/>
      <c r="Y15" s="12"/>
      <c r="Z15" s="12"/>
      <c r="AA15" s="12"/>
      <c r="AB15" s="12"/>
      <c r="AC15" s="12"/>
      <c r="AD15" s="12"/>
    </row>
    <row r="16" spans="2:30" s="3" customFormat="1" ht="12.75" customHeight="1">
      <c r="B16" s="57" t="s">
        <v>78</v>
      </c>
      <c r="F16" s="12"/>
      <c r="H16" s="12"/>
      <c r="I16" s="11"/>
      <c r="J16" s="58"/>
      <c r="K16" s="28"/>
      <c r="L16" s="58"/>
      <c r="M16" s="11"/>
      <c r="N16" s="12"/>
      <c r="O16" s="21"/>
      <c r="P16" s="59"/>
      <c r="Q16" s="59"/>
      <c r="R16" s="51"/>
      <c r="T16" s="12"/>
      <c r="U16" s="12"/>
      <c r="V16" s="12"/>
      <c r="W16" s="12"/>
      <c r="X16" s="12"/>
      <c r="Y16" s="12"/>
      <c r="Z16" s="12"/>
      <c r="AA16" s="12"/>
      <c r="AB16" s="12"/>
      <c r="AC16" s="12"/>
      <c r="AD16" s="12"/>
    </row>
    <row r="17" spans="3:30" s="3" customFormat="1" ht="12.75" customHeight="1">
      <c r="C17" s="3" t="s">
        <v>79</v>
      </c>
      <c r="F17" s="12"/>
      <c r="H17" s="12"/>
      <c r="I17" s="11">
        <v>369</v>
      </c>
      <c r="J17" s="58"/>
      <c r="K17" s="28">
        <v>4329</v>
      </c>
      <c r="L17" s="58"/>
      <c r="M17" s="11">
        <v>868</v>
      </c>
      <c r="N17" s="12"/>
      <c r="O17" s="21">
        <v>4328789</v>
      </c>
      <c r="P17" s="59"/>
      <c r="Q17" s="59">
        <v>6202</v>
      </c>
      <c r="R17" s="51"/>
      <c r="S17" s="3">
        <f>+Q17/4</f>
        <v>1550.5</v>
      </c>
      <c r="T17" s="12"/>
      <c r="U17" s="12"/>
      <c r="V17" s="12"/>
      <c r="W17" s="12"/>
      <c r="X17" s="12"/>
      <c r="Y17" s="12"/>
      <c r="Z17" s="12"/>
      <c r="AA17" s="12"/>
      <c r="AB17" s="12"/>
      <c r="AC17" s="12"/>
      <c r="AD17" s="12"/>
    </row>
    <row r="18" spans="3:30" s="3" customFormat="1" ht="12.75" customHeight="1">
      <c r="C18" s="3" t="s">
        <v>80</v>
      </c>
      <c r="F18" s="12"/>
      <c r="H18" s="12"/>
      <c r="I18" s="11">
        <v>-120</v>
      </c>
      <c r="J18" s="58"/>
      <c r="K18" s="28">
        <v>-108</v>
      </c>
      <c r="L18" s="58"/>
      <c r="M18" s="11">
        <v>-308</v>
      </c>
      <c r="N18" s="12"/>
      <c r="O18" s="21">
        <v>-108426</v>
      </c>
      <c r="P18" s="59"/>
      <c r="Q18" s="59"/>
      <c r="R18" s="51"/>
      <c r="S18" s="3">
        <f>+Q18/4</f>
        <v>0</v>
      </c>
      <c r="T18" s="12"/>
      <c r="U18" s="12"/>
      <c r="V18" s="12"/>
      <c r="W18" s="12"/>
      <c r="X18" s="12"/>
      <c r="Y18" s="12"/>
      <c r="Z18" s="12"/>
      <c r="AA18" s="12"/>
      <c r="AB18" s="12"/>
      <c r="AC18" s="12"/>
      <c r="AD18" s="12"/>
    </row>
    <row r="19" spans="3:30" s="3" customFormat="1" ht="12.75" customHeight="1">
      <c r="C19" s="3" t="s">
        <v>81</v>
      </c>
      <c r="F19" s="12"/>
      <c r="H19" s="12"/>
      <c r="I19" s="11">
        <v>-59</v>
      </c>
      <c r="J19" s="58"/>
      <c r="K19" s="28">
        <v>-345</v>
      </c>
      <c r="L19" s="58"/>
      <c r="M19" s="11">
        <v>-21</v>
      </c>
      <c r="N19" s="12"/>
      <c r="O19" s="21">
        <v>-344630</v>
      </c>
      <c r="P19" s="59"/>
      <c r="Q19" s="59">
        <v>-97</v>
      </c>
      <c r="R19" s="51"/>
      <c r="S19" s="3">
        <f>+Q19/4</f>
        <v>-24.25</v>
      </c>
      <c r="T19" s="12"/>
      <c r="U19" s="12"/>
      <c r="V19" s="12"/>
      <c r="W19" s="12"/>
      <c r="X19" s="12"/>
      <c r="Y19" s="12"/>
      <c r="Z19" s="12"/>
      <c r="AA19" s="12"/>
      <c r="AB19" s="12"/>
      <c r="AC19" s="12"/>
      <c r="AD19" s="12"/>
    </row>
    <row r="20" spans="3:30" s="3" customFormat="1" ht="12.75" customHeight="1">
      <c r="C20" s="3" t="s">
        <v>82</v>
      </c>
      <c r="F20" s="12"/>
      <c r="H20" s="12"/>
      <c r="I20" s="11">
        <v>507</v>
      </c>
      <c r="J20" s="58"/>
      <c r="K20" s="28">
        <v>6397</v>
      </c>
      <c r="L20" s="58"/>
      <c r="M20" s="11">
        <v>785</v>
      </c>
      <c r="N20" s="12"/>
      <c r="O20" s="21">
        <v>6396919</v>
      </c>
      <c r="P20" s="59"/>
      <c r="Q20" s="59">
        <v>8516</v>
      </c>
      <c r="R20" s="51"/>
      <c r="S20" s="3">
        <f>+Q20/4</f>
        <v>2129</v>
      </c>
      <c r="T20" s="12"/>
      <c r="U20" s="12"/>
      <c r="V20" s="12"/>
      <c r="W20" s="12"/>
      <c r="X20" s="12"/>
      <c r="Y20" s="12"/>
      <c r="Z20" s="12"/>
      <c r="AA20" s="12"/>
      <c r="AB20" s="12"/>
      <c r="AC20" s="12"/>
      <c r="AD20" s="12"/>
    </row>
    <row r="21" spans="3:30" s="3" customFormat="1" ht="12.75" customHeight="1">
      <c r="C21" s="3" t="s">
        <v>83</v>
      </c>
      <c r="F21" s="12"/>
      <c r="H21" s="12"/>
      <c r="I21" s="11">
        <v>-64</v>
      </c>
      <c r="J21" s="58"/>
      <c r="K21" s="28">
        <v>-259</v>
      </c>
      <c r="L21" s="58"/>
      <c r="M21" s="11">
        <v>-64</v>
      </c>
      <c r="N21" s="12"/>
      <c r="O21" s="21">
        <v>-259454</v>
      </c>
      <c r="P21" s="59"/>
      <c r="Q21" s="59">
        <v>-259</v>
      </c>
      <c r="R21" s="51"/>
      <c r="S21" s="3">
        <f>+Q21/4</f>
        <v>-64.75</v>
      </c>
      <c r="T21" s="12"/>
      <c r="U21" s="12"/>
      <c r="V21" s="12"/>
      <c r="W21" s="12"/>
      <c r="X21" s="12"/>
      <c r="Y21" s="12"/>
      <c r="Z21" s="12"/>
      <c r="AA21" s="12"/>
      <c r="AB21" s="12"/>
      <c r="AC21" s="12"/>
      <c r="AD21" s="12"/>
    </row>
    <row r="22" spans="6:30" s="3" customFormat="1" ht="12.75" customHeight="1">
      <c r="F22" s="12"/>
      <c r="H22" s="12"/>
      <c r="I22" s="11"/>
      <c r="J22" s="58"/>
      <c r="K22" s="28"/>
      <c r="L22" s="58"/>
      <c r="M22" s="11"/>
      <c r="N22" s="12"/>
      <c r="O22" s="21"/>
      <c r="P22" s="59"/>
      <c r="Q22" s="59"/>
      <c r="R22" s="51"/>
      <c r="T22" s="12"/>
      <c r="U22" s="12"/>
      <c r="V22" s="12"/>
      <c r="W22" s="12"/>
      <c r="X22" s="12"/>
      <c r="Y22" s="12"/>
      <c r="Z22" s="12"/>
      <c r="AA22" s="12"/>
      <c r="AB22" s="12"/>
      <c r="AC22" s="12"/>
      <c r="AD22" s="12"/>
    </row>
    <row r="23" spans="6:30" s="3" customFormat="1" ht="12.75" customHeight="1">
      <c r="F23" s="12"/>
      <c r="H23" s="12"/>
      <c r="I23" s="26"/>
      <c r="J23" s="58"/>
      <c r="K23" s="28"/>
      <c r="L23" s="58"/>
      <c r="M23" s="26"/>
      <c r="N23" s="12"/>
      <c r="O23" s="21"/>
      <c r="P23" s="59"/>
      <c r="Q23" s="59"/>
      <c r="R23" s="51"/>
      <c r="T23" s="12"/>
      <c r="U23" s="12"/>
      <c r="V23" s="12"/>
      <c r="W23" s="12"/>
      <c r="X23" s="12"/>
      <c r="Y23" s="12"/>
      <c r="Z23" s="12"/>
      <c r="AA23" s="12"/>
      <c r="AB23" s="12"/>
      <c r="AC23" s="12"/>
      <c r="AD23" s="12"/>
    </row>
    <row r="24" spans="6:30" s="3" customFormat="1" ht="12.75" customHeight="1">
      <c r="F24" s="12"/>
      <c r="H24" s="12"/>
      <c r="I24" s="11"/>
      <c r="J24" s="58"/>
      <c r="K24" s="28"/>
      <c r="L24" s="58"/>
      <c r="M24" s="11"/>
      <c r="N24" s="12"/>
      <c r="O24" s="21"/>
      <c r="P24" s="59"/>
      <c r="Q24" s="59"/>
      <c r="R24" s="51"/>
      <c r="T24" s="12"/>
      <c r="U24" s="12"/>
      <c r="V24" s="12"/>
      <c r="W24" s="12"/>
      <c r="X24" s="12"/>
      <c r="Y24" s="12"/>
      <c r="Z24" s="12"/>
      <c r="AA24" s="12"/>
      <c r="AB24" s="12"/>
      <c r="AC24" s="12"/>
      <c r="AD24" s="12"/>
    </row>
    <row r="25" spans="2:30" s="3" customFormat="1" ht="12.75" customHeight="1">
      <c r="B25" s="3" t="s">
        <v>84</v>
      </c>
      <c r="F25" s="12"/>
      <c r="H25" s="12"/>
      <c r="I25" s="21">
        <f>SUM(I15:I21)</f>
        <v>1190</v>
      </c>
      <c r="J25" s="58"/>
      <c r="K25" s="28">
        <f>SUM(K15:K21)</f>
        <v>9949</v>
      </c>
      <c r="L25" s="58"/>
      <c r="M25" s="21">
        <f>SUM(M15:M21)</f>
        <v>1094</v>
      </c>
      <c r="N25" s="12"/>
      <c r="O25" s="21">
        <f>SUM(O15:O21)</f>
        <v>9948625</v>
      </c>
      <c r="P25" s="59"/>
      <c r="Q25" s="59">
        <f>SUM(Q15:Q21)</f>
        <v>18251</v>
      </c>
      <c r="R25" s="51"/>
      <c r="S25" s="59">
        <f>SUM(S15:S21)</f>
        <v>4562.75</v>
      </c>
      <c r="T25" s="12"/>
      <c r="U25" s="12"/>
      <c r="V25" s="12"/>
      <c r="W25" s="12"/>
      <c r="X25" s="12"/>
      <c r="Y25" s="12"/>
      <c r="Z25" s="12"/>
      <c r="AA25" s="12"/>
      <c r="AB25" s="12"/>
      <c r="AC25" s="12"/>
      <c r="AD25" s="12"/>
    </row>
    <row r="26" spans="3:30" s="3" customFormat="1" ht="12.75" customHeight="1">
      <c r="C26" s="3" t="s">
        <v>29</v>
      </c>
      <c r="F26" s="12"/>
      <c r="H26" s="12"/>
      <c r="I26" s="11">
        <v>-3356</v>
      </c>
      <c r="J26" s="58"/>
      <c r="K26" s="28">
        <v>4697</v>
      </c>
      <c r="L26" s="58"/>
      <c r="M26" s="11">
        <v>1066</v>
      </c>
      <c r="N26" s="12"/>
      <c r="O26" s="21">
        <v>4697459</v>
      </c>
      <c r="P26" s="59"/>
      <c r="Q26" s="59">
        <v>-12406</v>
      </c>
      <c r="R26" s="51"/>
      <c r="S26" s="3">
        <f>+Q26/4</f>
        <v>-3101.5</v>
      </c>
      <c r="T26" s="12"/>
      <c r="U26" s="12"/>
      <c r="V26" s="12"/>
      <c r="W26" s="12"/>
      <c r="X26" s="12"/>
      <c r="Y26" s="12"/>
      <c r="Z26" s="12"/>
      <c r="AA26" s="12"/>
      <c r="AB26" s="12"/>
      <c r="AC26" s="12"/>
      <c r="AD26" s="12"/>
    </row>
    <row r="27" spans="3:30" s="3" customFormat="1" ht="12.75" customHeight="1">
      <c r="C27" s="3" t="s">
        <v>124</v>
      </c>
      <c r="F27" s="12"/>
      <c r="H27" s="12"/>
      <c r="I27" s="11"/>
      <c r="J27" s="58"/>
      <c r="K27" s="28"/>
      <c r="L27" s="58"/>
      <c r="M27" s="11"/>
      <c r="N27" s="12"/>
      <c r="O27" s="21"/>
      <c r="P27" s="59"/>
      <c r="Q27" s="59"/>
      <c r="R27" s="51"/>
      <c r="T27" s="12"/>
      <c r="U27" s="12"/>
      <c r="V27" s="12"/>
      <c r="W27" s="12"/>
      <c r="X27" s="12"/>
      <c r="Y27" s="12"/>
      <c r="Z27" s="12"/>
      <c r="AA27" s="12"/>
      <c r="AB27" s="12"/>
      <c r="AC27" s="12"/>
      <c r="AD27" s="12"/>
    </row>
    <row r="28" spans="3:30" s="3" customFormat="1" ht="12.75" customHeight="1">
      <c r="C28" s="3" t="s">
        <v>85</v>
      </c>
      <c r="F28" s="12"/>
      <c r="H28" s="12"/>
      <c r="I28" s="11">
        <v>319</v>
      </c>
      <c r="J28" s="58"/>
      <c r="K28" s="28">
        <v>-367</v>
      </c>
      <c r="L28" s="58"/>
      <c r="M28" s="11">
        <v>-3160</v>
      </c>
      <c r="N28" s="12"/>
      <c r="O28" s="21">
        <v>-367456</v>
      </c>
      <c r="P28" s="59"/>
      <c r="Q28" s="59">
        <v>2049</v>
      </c>
      <c r="R28" s="51"/>
      <c r="S28" s="3">
        <f>+Q28/4</f>
        <v>512.25</v>
      </c>
      <c r="T28" s="12"/>
      <c r="U28" s="12"/>
      <c r="V28" s="12"/>
      <c r="W28" s="12"/>
      <c r="X28" s="12"/>
      <c r="Y28" s="12"/>
      <c r="Z28" s="12"/>
      <c r="AA28" s="12"/>
      <c r="AB28" s="12"/>
      <c r="AC28" s="12"/>
      <c r="AD28" s="12"/>
    </row>
    <row r="29" spans="3:30" s="3" customFormat="1" ht="12.75" customHeight="1">
      <c r="C29" s="3" t="s">
        <v>125</v>
      </c>
      <c r="F29" s="12"/>
      <c r="H29" s="12"/>
      <c r="I29" s="11"/>
      <c r="J29" s="58"/>
      <c r="K29" s="61"/>
      <c r="L29" s="58"/>
      <c r="M29" s="11"/>
      <c r="N29" s="12"/>
      <c r="R29" s="51"/>
      <c r="T29" s="12"/>
      <c r="U29" s="12"/>
      <c r="V29" s="12"/>
      <c r="W29" s="12"/>
      <c r="X29" s="12"/>
      <c r="Y29" s="12"/>
      <c r="Z29" s="12"/>
      <c r="AA29" s="12"/>
      <c r="AB29" s="12"/>
      <c r="AC29" s="12"/>
      <c r="AD29" s="12"/>
    </row>
    <row r="30" spans="3:30" s="3" customFormat="1" ht="12.75" customHeight="1">
      <c r="C30" s="3" t="s">
        <v>86</v>
      </c>
      <c r="F30" s="12"/>
      <c r="H30" s="12"/>
      <c r="I30" s="11">
        <v>4308</v>
      </c>
      <c r="J30" s="58"/>
      <c r="K30" s="28">
        <v>-2073</v>
      </c>
      <c r="L30" s="58"/>
      <c r="M30" s="11">
        <v>1670</v>
      </c>
      <c r="N30" s="12"/>
      <c r="O30" s="21">
        <v>-2072819</v>
      </c>
      <c r="P30" s="59"/>
      <c r="Q30" s="59">
        <v>15439</v>
      </c>
      <c r="R30" s="51"/>
      <c r="S30" s="3">
        <f>+Q30/4</f>
        <v>3859.75</v>
      </c>
      <c r="T30" s="12"/>
      <c r="U30" s="12"/>
      <c r="V30" s="12"/>
      <c r="W30" s="12"/>
      <c r="X30" s="12"/>
      <c r="Y30" s="12"/>
      <c r="Z30" s="12"/>
      <c r="AA30" s="12"/>
      <c r="AB30" s="12"/>
      <c r="AC30" s="12"/>
      <c r="AD30" s="12"/>
    </row>
    <row r="31" spans="3:30" s="3" customFormat="1" ht="12.75" customHeight="1">
      <c r="C31" s="3" t="s">
        <v>126</v>
      </c>
      <c r="F31" s="12"/>
      <c r="H31" s="12"/>
      <c r="I31" s="11">
        <v>4664</v>
      </c>
      <c r="J31" s="58"/>
      <c r="K31" s="28">
        <v>3673</v>
      </c>
      <c r="L31" s="58"/>
      <c r="M31" s="11">
        <v>9371</v>
      </c>
      <c r="N31" s="12"/>
      <c r="O31" s="21">
        <v>3672846</v>
      </c>
      <c r="P31" s="59"/>
      <c r="Q31" s="59">
        <v>1830</v>
      </c>
      <c r="R31" s="51"/>
      <c r="S31" s="3">
        <f>+Q31/4</f>
        <v>457.5</v>
      </c>
      <c r="T31" s="12"/>
      <c r="U31" s="12"/>
      <c r="V31" s="12"/>
      <c r="W31" s="12"/>
      <c r="X31" s="12"/>
      <c r="Y31" s="12"/>
      <c r="Z31" s="12"/>
      <c r="AA31" s="12"/>
      <c r="AB31" s="12"/>
      <c r="AC31" s="12"/>
      <c r="AD31" s="12"/>
    </row>
    <row r="32" spans="3:30" s="3" customFormat="1" ht="12.75" customHeight="1">
      <c r="C32" s="3" t="s">
        <v>127</v>
      </c>
      <c r="F32" s="12"/>
      <c r="H32" s="12"/>
      <c r="I32" s="25">
        <v>1384</v>
      </c>
      <c r="J32" s="58"/>
      <c r="K32" s="65">
        <v>4456</v>
      </c>
      <c r="L32" s="58"/>
      <c r="M32" s="25">
        <v>-7179</v>
      </c>
      <c r="N32" s="12"/>
      <c r="O32" s="62">
        <v>4455648</v>
      </c>
      <c r="P32" s="59"/>
      <c r="Q32" s="62">
        <v>-5664</v>
      </c>
      <c r="R32" s="51"/>
      <c r="S32" s="3">
        <f>+Q32/4</f>
        <v>-1416</v>
      </c>
      <c r="T32" s="12"/>
      <c r="U32" s="12"/>
      <c r="V32" s="12"/>
      <c r="W32" s="12"/>
      <c r="X32" s="12"/>
      <c r="Y32" s="12"/>
      <c r="Z32" s="12"/>
      <c r="AA32" s="12"/>
      <c r="AB32" s="12"/>
      <c r="AC32" s="12"/>
      <c r="AD32" s="12"/>
    </row>
    <row r="33" spans="6:30" s="3" customFormat="1" ht="12.75" customHeight="1">
      <c r="F33" s="12"/>
      <c r="H33" s="12"/>
      <c r="I33" s="11"/>
      <c r="J33" s="58"/>
      <c r="K33" s="60"/>
      <c r="L33" s="58"/>
      <c r="M33" s="11"/>
      <c r="N33" s="12"/>
      <c r="O33" s="59"/>
      <c r="P33" s="59"/>
      <c r="Q33" s="59"/>
      <c r="R33" s="51"/>
      <c r="T33" s="12"/>
      <c r="U33" s="12"/>
      <c r="V33" s="12"/>
      <c r="W33" s="12"/>
      <c r="X33" s="12"/>
      <c r="Y33" s="12"/>
      <c r="Z33" s="12"/>
      <c r="AA33" s="12"/>
      <c r="AB33" s="12"/>
      <c r="AC33" s="12"/>
      <c r="AD33" s="12"/>
    </row>
    <row r="34" spans="6:30" s="3" customFormat="1" ht="12.75" customHeight="1">
      <c r="F34" s="12"/>
      <c r="H34" s="12"/>
      <c r="I34" s="11"/>
      <c r="J34" s="58"/>
      <c r="K34" s="61"/>
      <c r="L34" s="58"/>
      <c r="M34" s="11"/>
      <c r="N34" s="12"/>
      <c r="P34" s="12"/>
      <c r="Q34" s="12"/>
      <c r="R34" s="51"/>
      <c r="T34" s="12"/>
      <c r="U34" s="12"/>
      <c r="V34" s="12"/>
      <c r="W34" s="12"/>
      <c r="X34" s="12"/>
      <c r="Y34" s="12"/>
      <c r="Z34" s="12"/>
      <c r="AA34" s="12"/>
      <c r="AB34" s="12"/>
      <c r="AC34" s="12"/>
      <c r="AD34" s="12"/>
    </row>
    <row r="35" spans="2:30" s="3" customFormat="1" ht="12.75" customHeight="1">
      <c r="B35" s="3" t="s">
        <v>87</v>
      </c>
      <c r="F35" s="12"/>
      <c r="H35" s="12"/>
      <c r="I35" s="21">
        <f>SUM(I25:I32)</f>
        <v>8509</v>
      </c>
      <c r="J35" s="28"/>
      <c r="K35" s="28">
        <f>SUM(K25:K32)</f>
        <v>20335</v>
      </c>
      <c r="L35" s="58"/>
      <c r="M35" s="21">
        <f>SUM(M25:M32)</f>
        <v>2862</v>
      </c>
      <c r="N35" s="12"/>
      <c r="O35" s="21">
        <f>SUM(O25:O32)</f>
        <v>20334303</v>
      </c>
      <c r="P35" s="59"/>
      <c r="Q35" s="59">
        <f>SUM(Q25:Q32)</f>
        <v>19499</v>
      </c>
      <c r="R35" s="51"/>
      <c r="T35" s="12"/>
      <c r="U35" s="12"/>
      <c r="V35" s="12"/>
      <c r="W35" s="12"/>
      <c r="X35" s="12"/>
      <c r="Y35" s="12"/>
      <c r="Z35" s="12"/>
      <c r="AA35" s="12"/>
      <c r="AB35" s="12"/>
      <c r="AC35" s="12"/>
      <c r="AD35" s="12"/>
    </row>
    <row r="36" spans="3:30" s="3" customFormat="1" ht="12.75" customHeight="1">
      <c r="C36" s="3" t="s">
        <v>88</v>
      </c>
      <c r="F36" s="12"/>
      <c r="H36" s="12"/>
      <c r="I36" s="11">
        <v>-286</v>
      </c>
      <c r="J36" s="58"/>
      <c r="K36" s="28">
        <v>-2027</v>
      </c>
      <c r="L36" s="58"/>
      <c r="M36" s="11">
        <v>-49</v>
      </c>
      <c r="N36" s="12"/>
      <c r="O36" s="21">
        <v>-2027231</v>
      </c>
      <c r="P36" s="12"/>
      <c r="Q36" s="12">
        <v>-653</v>
      </c>
      <c r="R36" s="51"/>
      <c r="S36" s="3">
        <f>+Q36/4</f>
        <v>-163.25</v>
      </c>
      <c r="T36" s="12"/>
      <c r="U36" s="12"/>
      <c r="V36" s="12"/>
      <c r="W36" s="12"/>
      <c r="X36" s="12"/>
      <c r="Y36" s="12"/>
      <c r="Z36" s="12"/>
      <c r="AA36" s="12"/>
      <c r="AB36" s="12"/>
      <c r="AC36" s="12"/>
      <c r="AD36" s="12"/>
    </row>
    <row r="37" spans="3:30" s="3" customFormat="1" ht="12.75" customHeight="1">
      <c r="C37" s="3" t="s">
        <v>89</v>
      </c>
      <c r="F37" s="12"/>
      <c r="H37" s="12"/>
      <c r="I37" s="11">
        <v>59</v>
      </c>
      <c r="J37" s="58"/>
      <c r="K37" s="28">
        <v>345</v>
      </c>
      <c r="L37" s="58"/>
      <c r="M37" s="11">
        <v>21</v>
      </c>
      <c r="N37" s="12"/>
      <c r="O37" s="21">
        <v>344630</v>
      </c>
      <c r="P37" s="59"/>
      <c r="Q37" s="59">
        <v>97</v>
      </c>
      <c r="R37" s="51"/>
      <c r="S37" s="3">
        <f>+Q37/4</f>
        <v>24.25</v>
      </c>
      <c r="T37" s="12"/>
      <c r="U37" s="12"/>
      <c r="V37" s="12"/>
      <c r="W37" s="12"/>
      <c r="X37" s="12"/>
      <c r="Y37" s="12"/>
      <c r="Z37" s="12"/>
      <c r="AA37" s="12"/>
      <c r="AB37" s="12"/>
      <c r="AC37" s="12"/>
      <c r="AD37" s="12"/>
    </row>
    <row r="38" spans="3:30" s="3" customFormat="1" ht="12.75" customHeight="1">
      <c r="C38" s="3" t="s">
        <v>90</v>
      </c>
      <c r="F38" s="12"/>
      <c r="H38" s="12"/>
      <c r="I38" s="25">
        <f>-I20</f>
        <v>-507</v>
      </c>
      <c r="J38" s="58"/>
      <c r="K38" s="65">
        <v>-6397</v>
      </c>
      <c r="L38" s="58"/>
      <c r="M38" s="25">
        <v>-785</v>
      </c>
      <c r="N38" s="12"/>
      <c r="O38" s="62">
        <v>-6396919</v>
      </c>
      <c r="P38" s="59"/>
      <c r="Q38" s="62">
        <v>-8516</v>
      </c>
      <c r="R38" s="51"/>
      <c r="S38" s="63">
        <f>+Q38/4</f>
        <v>-2129</v>
      </c>
      <c r="T38" s="12"/>
      <c r="U38" s="12"/>
      <c r="V38" s="12"/>
      <c r="W38" s="12"/>
      <c r="X38" s="12"/>
      <c r="Y38" s="12"/>
      <c r="Z38" s="12"/>
      <c r="AA38" s="12"/>
      <c r="AB38" s="12"/>
      <c r="AC38" s="12"/>
      <c r="AD38" s="12"/>
    </row>
    <row r="39" spans="6:30" s="3" customFormat="1" ht="12.75" customHeight="1">
      <c r="F39" s="12"/>
      <c r="H39" s="12"/>
      <c r="I39" s="11"/>
      <c r="J39" s="58"/>
      <c r="K39" s="60"/>
      <c r="L39" s="58"/>
      <c r="M39" s="11"/>
      <c r="N39" s="12"/>
      <c r="O39" s="59"/>
      <c r="P39" s="59"/>
      <c r="Q39" s="59"/>
      <c r="R39" s="51"/>
      <c r="S39" s="12"/>
      <c r="T39" s="12"/>
      <c r="U39" s="12"/>
      <c r="V39" s="12"/>
      <c r="W39" s="12"/>
      <c r="X39" s="12"/>
      <c r="Y39" s="12"/>
      <c r="Z39" s="12"/>
      <c r="AA39" s="12"/>
      <c r="AB39" s="12"/>
      <c r="AC39" s="12"/>
      <c r="AD39" s="12"/>
    </row>
    <row r="40" spans="6:30" s="3" customFormat="1" ht="12.75" customHeight="1">
      <c r="F40" s="12"/>
      <c r="H40" s="12"/>
      <c r="I40" s="11"/>
      <c r="J40" s="58"/>
      <c r="K40" s="60"/>
      <c r="L40" s="58"/>
      <c r="M40" s="11"/>
      <c r="N40" s="12"/>
      <c r="O40" s="59"/>
      <c r="P40" s="59"/>
      <c r="Q40" s="59"/>
      <c r="R40" s="51"/>
      <c r="S40" s="12"/>
      <c r="T40" s="12"/>
      <c r="U40" s="12"/>
      <c r="V40" s="12"/>
      <c r="W40" s="12"/>
      <c r="X40" s="12"/>
      <c r="Y40" s="12"/>
      <c r="Z40" s="12"/>
      <c r="AA40" s="12"/>
      <c r="AB40" s="12"/>
      <c r="AC40" s="12"/>
      <c r="AD40" s="12"/>
    </row>
    <row r="41" spans="2:30" s="3" customFormat="1" ht="12.75" customHeight="1">
      <c r="B41" s="3" t="s">
        <v>91</v>
      </c>
      <c r="F41" s="12"/>
      <c r="H41" s="12"/>
      <c r="I41" s="62">
        <f>SUM(I35:I38)</f>
        <v>7775</v>
      </c>
      <c r="J41" s="60"/>
      <c r="K41" s="65">
        <f>SUM(K35:K38)</f>
        <v>12256</v>
      </c>
      <c r="L41" s="58"/>
      <c r="M41" s="62">
        <f>SUM(M35:M38)</f>
        <v>2049</v>
      </c>
      <c r="N41" s="12"/>
      <c r="O41" s="62">
        <f>SUM(O35:O38)</f>
        <v>12254783</v>
      </c>
      <c r="P41" s="59"/>
      <c r="Q41" s="62">
        <f>SUM(Q35:Q38)</f>
        <v>10427</v>
      </c>
      <c r="R41" s="51"/>
      <c r="S41" s="62">
        <f>SUM(S35:S38)</f>
        <v>-2268</v>
      </c>
      <c r="T41" s="12"/>
      <c r="U41" s="12"/>
      <c r="V41" s="12"/>
      <c r="W41" s="12"/>
      <c r="X41" s="12"/>
      <c r="Y41" s="12"/>
      <c r="Z41" s="12"/>
      <c r="AA41" s="12"/>
      <c r="AB41" s="12"/>
      <c r="AC41" s="12"/>
      <c r="AD41" s="12"/>
    </row>
    <row r="42" spans="6:30" s="3" customFormat="1" ht="12.75" customHeight="1">
      <c r="F42" s="12"/>
      <c r="H42" s="12"/>
      <c r="I42" s="11"/>
      <c r="J42" s="58"/>
      <c r="K42" s="60"/>
      <c r="L42" s="58"/>
      <c r="M42" s="11"/>
      <c r="N42" s="12"/>
      <c r="O42" s="59"/>
      <c r="P42" s="59"/>
      <c r="Q42" s="59"/>
      <c r="R42" s="51"/>
      <c r="T42" s="12"/>
      <c r="U42" s="12"/>
      <c r="V42" s="12"/>
      <c r="W42" s="12"/>
      <c r="X42" s="12"/>
      <c r="Y42" s="12"/>
      <c r="Z42" s="12"/>
      <c r="AA42" s="12"/>
      <c r="AB42" s="12"/>
      <c r="AC42" s="12"/>
      <c r="AD42" s="12"/>
    </row>
    <row r="43" spans="1:30" s="3" customFormat="1" ht="12.75" customHeight="1">
      <c r="A43" s="1" t="s">
        <v>92</v>
      </c>
      <c r="F43" s="12"/>
      <c r="H43" s="12"/>
      <c r="I43" s="11"/>
      <c r="J43" s="58"/>
      <c r="K43" s="28"/>
      <c r="L43" s="58"/>
      <c r="M43" s="11"/>
      <c r="N43" s="12"/>
      <c r="O43" s="21"/>
      <c r="P43" s="59"/>
      <c r="Q43" s="59"/>
      <c r="R43" s="51"/>
      <c r="T43" s="12"/>
      <c r="U43" s="12"/>
      <c r="V43" s="12"/>
      <c r="W43" s="12"/>
      <c r="X43" s="12"/>
      <c r="Y43" s="12"/>
      <c r="Z43" s="12"/>
      <c r="AA43" s="12"/>
      <c r="AB43" s="12"/>
      <c r="AC43" s="12"/>
      <c r="AD43" s="12"/>
    </row>
    <row r="44" spans="2:30" s="3" customFormat="1" ht="12.75" customHeight="1">
      <c r="B44" s="57" t="s">
        <v>93</v>
      </c>
      <c r="F44" s="12"/>
      <c r="H44" s="12"/>
      <c r="I44" s="11">
        <v>-205</v>
      </c>
      <c r="J44" s="58"/>
      <c r="K44" s="28">
        <v>-574</v>
      </c>
      <c r="L44" s="58"/>
      <c r="M44" s="11">
        <v>-107</v>
      </c>
      <c r="N44" s="12"/>
      <c r="O44" s="21">
        <v>-574442</v>
      </c>
      <c r="P44" s="59"/>
      <c r="Q44" s="59">
        <v>-163</v>
      </c>
      <c r="R44" s="51"/>
      <c r="S44" s="3">
        <v>0</v>
      </c>
      <c r="T44" s="12"/>
      <c r="U44" s="12"/>
      <c r="V44" s="12"/>
      <c r="W44" s="12"/>
      <c r="X44" s="12"/>
      <c r="Y44" s="12"/>
      <c r="Z44" s="12"/>
      <c r="AA44" s="12"/>
      <c r="AB44" s="12"/>
      <c r="AC44" s="12"/>
      <c r="AD44" s="12"/>
    </row>
    <row r="45" spans="2:30" s="3" customFormat="1" ht="12.75" customHeight="1">
      <c r="B45" s="3" t="s">
        <v>94</v>
      </c>
      <c r="F45" s="12"/>
      <c r="H45" s="12"/>
      <c r="I45" s="11"/>
      <c r="J45" s="58"/>
      <c r="K45" s="61"/>
      <c r="L45" s="58"/>
      <c r="M45" s="11"/>
      <c r="N45" s="12"/>
      <c r="R45" s="51"/>
      <c r="T45" s="12"/>
      <c r="U45" s="12"/>
      <c r="V45" s="12"/>
      <c r="W45" s="12"/>
      <c r="X45" s="12"/>
      <c r="Y45" s="12"/>
      <c r="Z45" s="12"/>
      <c r="AA45" s="12"/>
      <c r="AB45" s="12"/>
      <c r="AC45" s="12"/>
      <c r="AD45" s="12"/>
    </row>
    <row r="46" spans="2:30" s="3" customFormat="1" ht="12.75" customHeight="1">
      <c r="B46" s="3" t="s">
        <v>95</v>
      </c>
      <c r="F46" s="12"/>
      <c r="H46" s="12"/>
      <c r="I46" s="11">
        <v>434</v>
      </c>
      <c r="J46" s="58"/>
      <c r="K46" s="28">
        <v>5869</v>
      </c>
      <c r="L46" s="58"/>
      <c r="M46" s="11">
        <v>593</v>
      </c>
      <c r="N46" s="12"/>
      <c r="O46" s="21">
        <f>5801947+66680</f>
        <v>5868627</v>
      </c>
      <c r="P46" s="59"/>
      <c r="Q46" s="59">
        <v>18451</v>
      </c>
      <c r="R46" s="51"/>
      <c r="S46" s="3">
        <v>0</v>
      </c>
      <c r="T46" s="12"/>
      <c r="U46" s="12"/>
      <c r="V46" s="12"/>
      <c r="W46" s="12"/>
      <c r="X46" s="12"/>
      <c r="Y46" s="12"/>
      <c r="Z46" s="12"/>
      <c r="AA46" s="12"/>
      <c r="AB46" s="12"/>
      <c r="AC46" s="12"/>
      <c r="AD46" s="12"/>
    </row>
    <row r="47" spans="6:30" s="3" customFormat="1" ht="12.75" customHeight="1">
      <c r="F47" s="12"/>
      <c r="H47" s="12"/>
      <c r="I47" s="26"/>
      <c r="J47" s="58"/>
      <c r="K47" s="60"/>
      <c r="L47" s="58"/>
      <c r="M47" s="26"/>
      <c r="N47" s="12"/>
      <c r="O47" s="59"/>
      <c r="P47" s="59"/>
      <c r="Q47" s="59"/>
      <c r="R47" s="51"/>
      <c r="T47" s="12"/>
      <c r="U47" s="12"/>
      <c r="V47" s="12"/>
      <c r="W47" s="12"/>
      <c r="X47" s="12"/>
      <c r="Y47" s="12"/>
      <c r="Z47" s="12"/>
      <c r="AA47" s="12"/>
      <c r="AB47" s="12"/>
      <c r="AC47" s="12"/>
      <c r="AD47" s="12"/>
    </row>
    <row r="48" spans="2:30" s="3" customFormat="1" ht="12.75" customHeight="1">
      <c r="B48" s="3" t="s">
        <v>96</v>
      </c>
      <c r="F48" s="12"/>
      <c r="H48" s="12"/>
      <c r="I48" s="62">
        <f>SUM(I44:I47)</f>
        <v>229</v>
      </c>
      <c r="J48" s="60"/>
      <c r="K48" s="65">
        <f>SUM(K44:K47)</f>
        <v>5295</v>
      </c>
      <c r="L48" s="58"/>
      <c r="M48" s="62">
        <f>SUM(M44:M47)</f>
        <v>486</v>
      </c>
      <c r="N48" s="12"/>
      <c r="O48" s="62">
        <f>SUM(O44:O47)</f>
        <v>5294185</v>
      </c>
      <c r="P48" s="59"/>
      <c r="Q48" s="62">
        <f>SUM(Q44:Q46)</f>
        <v>18288</v>
      </c>
      <c r="R48" s="51"/>
      <c r="S48" s="62">
        <f>SUM(S44:S46)</f>
        <v>0</v>
      </c>
      <c r="T48" s="12"/>
      <c r="U48" s="12"/>
      <c r="V48" s="12"/>
      <c r="W48" s="12"/>
      <c r="X48" s="12"/>
      <c r="Y48" s="12"/>
      <c r="Z48" s="12"/>
      <c r="AA48" s="12"/>
      <c r="AB48" s="12"/>
      <c r="AC48" s="12"/>
      <c r="AD48" s="12"/>
    </row>
    <row r="49" spans="6:30" s="3" customFormat="1" ht="12.75" customHeight="1">
      <c r="F49" s="12"/>
      <c r="H49" s="12"/>
      <c r="I49" s="11"/>
      <c r="J49" s="58"/>
      <c r="K49" s="60"/>
      <c r="L49" s="58"/>
      <c r="M49" s="11"/>
      <c r="N49" s="12"/>
      <c r="O49" s="59"/>
      <c r="P49" s="59"/>
      <c r="Q49" s="59"/>
      <c r="R49" s="51"/>
      <c r="T49" s="12"/>
      <c r="U49" s="12"/>
      <c r="V49" s="12"/>
      <c r="W49" s="12"/>
      <c r="X49" s="12"/>
      <c r="Y49" s="12"/>
      <c r="Z49" s="12"/>
      <c r="AA49" s="12"/>
      <c r="AB49" s="12"/>
      <c r="AC49" s="12"/>
      <c r="AD49" s="12"/>
    </row>
    <row r="50" spans="2:30" s="3" customFormat="1" ht="12.75" customHeight="1">
      <c r="B50" s="41"/>
      <c r="C50" s="41"/>
      <c r="D50" s="41"/>
      <c r="E50" s="41"/>
      <c r="F50" s="12"/>
      <c r="G50" s="41"/>
      <c r="H50" s="67"/>
      <c r="I50" s="73"/>
      <c r="J50" s="68"/>
      <c r="K50" s="69"/>
      <c r="L50" s="68"/>
      <c r="M50" s="73"/>
      <c r="N50" s="67"/>
      <c r="O50" s="70"/>
      <c r="P50" s="67"/>
      <c r="Q50" s="67"/>
      <c r="R50" s="51"/>
      <c r="T50" s="12"/>
      <c r="U50" s="12"/>
      <c r="V50" s="12"/>
      <c r="W50" s="12"/>
      <c r="X50" s="12"/>
      <c r="Y50" s="12"/>
      <c r="Z50" s="12"/>
      <c r="AA50" s="12"/>
      <c r="AB50" s="12"/>
      <c r="AC50" s="12"/>
      <c r="AD50" s="12"/>
    </row>
    <row r="51" spans="1:30" s="3" customFormat="1" ht="12.75" customHeight="1">
      <c r="A51" s="1" t="s">
        <v>97</v>
      </c>
      <c r="F51" s="12"/>
      <c r="H51" s="12"/>
      <c r="I51" s="11"/>
      <c r="J51" s="58"/>
      <c r="K51" s="58"/>
      <c r="L51" s="58"/>
      <c r="M51" s="11"/>
      <c r="N51" s="12"/>
      <c r="O51" s="11"/>
      <c r="P51" s="11"/>
      <c r="Q51" s="11"/>
      <c r="R51" s="51"/>
      <c r="T51" s="12"/>
      <c r="U51" s="12"/>
      <c r="V51" s="12"/>
      <c r="W51" s="12"/>
      <c r="X51" s="12"/>
      <c r="Y51" s="12"/>
      <c r="Z51" s="12"/>
      <c r="AA51" s="12"/>
      <c r="AB51" s="12"/>
      <c r="AC51" s="12"/>
      <c r="AD51" s="12"/>
    </row>
    <row r="52" spans="2:30" s="3" customFormat="1" ht="12.75" customHeight="1">
      <c r="B52" s="57" t="s">
        <v>98</v>
      </c>
      <c r="F52" s="12"/>
      <c r="H52" s="12"/>
      <c r="I52" s="11">
        <v>-401</v>
      </c>
      <c r="J52" s="58"/>
      <c r="K52" s="58">
        <v>-1819</v>
      </c>
      <c r="L52" s="58"/>
      <c r="M52" s="11">
        <v>-127</v>
      </c>
      <c r="N52" s="12"/>
      <c r="O52" s="11">
        <v>-1818555</v>
      </c>
      <c r="P52" s="11"/>
      <c r="Q52" s="11">
        <v>-5754</v>
      </c>
      <c r="R52" s="51"/>
      <c r="S52" s="3">
        <f>+Q52/4</f>
        <v>-1438.5</v>
      </c>
      <c r="T52" s="12"/>
      <c r="U52" s="12"/>
      <c r="V52" s="12"/>
      <c r="W52" s="12"/>
      <c r="X52" s="12"/>
      <c r="Y52" s="12"/>
      <c r="Z52" s="12"/>
      <c r="AA52" s="12"/>
      <c r="AB52" s="12"/>
      <c r="AC52" s="12"/>
      <c r="AD52" s="12"/>
    </row>
    <row r="53" spans="2:30" s="3" customFormat="1" ht="12.75" customHeight="1">
      <c r="B53" s="3" t="s">
        <v>99</v>
      </c>
      <c r="F53" s="12"/>
      <c r="H53" s="12"/>
      <c r="I53" s="11">
        <v>-1486</v>
      </c>
      <c r="J53" s="58"/>
      <c r="K53" s="58">
        <v>-9319</v>
      </c>
      <c r="L53" s="58"/>
      <c r="M53" s="11">
        <v>-35</v>
      </c>
      <c r="N53" s="12"/>
      <c r="O53" s="11">
        <v>-9319147</v>
      </c>
      <c r="P53" s="11"/>
      <c r="Q53" s="11">
        <v>-11051</v>
      </c>
      <c r="R53" s="51"/>
      <c r="S53" s="3">
        <f>+Q53/4</f>
        <v>-2762.75</v>
      </c>
      <c r="T53" s="12"/>
      <c r="U53" s="12"/>
      <c r="V53" s="12"/>
      <c r="W53" s="12"/>
      <c r="X53" s="12"/>
      <c r="Y53" s="12"/>
      <c r="Z53" s="12"/>
      <c r="AA53" s="12"/>
      <c r="AB53" s="12"/>
      <c r="AC53" s="12"/>
      <c r="AD53" s="12"/>
    </row>
    <row r="54" spans="2:30" s="3" customFormat="1" ht="12.75" customHeight="1">
      <c r="B54" s="3" t="s">
        <v>100</v>
      </c>
      <c r="F54" s="12"/>
      <c r="H54" s="12"/>
      <c r="I54" s="11">
        <v>0</v>
      </c>
      <c r="J54" s="58"/>
      <c r="K54" s="58">
        <v>-5896</v>
      </c>
      <c r="L54" s="58"/>
      <c r="M54" s="11">
        <v>-200</v>
      </c>
      <c r="N54" s="12"/>
      <c r="O54" s="11">
        <v>-5895762</v>
      </c>
      <c r="P54" s="11"/>
      <c r="Q54" s="11">
        <v>-619</v>
      </c>
      <c r="R54" s="51"/>
      <c r="S54" s="3">
        <f>+Q54/4</f>
        <v>-154.75</v>
      </c>
      <c r="T54" s="12"/>
      <c r="U54" s="12"/>
      <c r="V54" s="12"/>
      <c r="W54" s="12"/>
      <c r="X54" s="12"/>
      <c r="Y54" s="12"/>
      <c r="Z54" s="12"/>
      <c r="AA54" s="12"/>
      <c r="AB54" s="12"/>
      <c r="AC54" s="12"/>
      <c r="AD54" s="12"/>
    </row>
    <row r="55" spans="2:30" s="3" customFormat="1" ht="12.75" customHeight="1">
      <c r="B55" s="3" t="s">
        <v>123</v>
      </c>
      <c r="F55" s="12"/>
      <c r="H55" s="12"/>
      <c r="I55" s="11">
        <v>3722</v>
      </c>
      <c r="J55" s="58"/>
      <c r="K55" s="58"/>
      <c r="L55" s="58"/>
      <c r="M55" s="11"/>
      <c r="N55" s="12"/>
      <c r="O55" s="11"/>
      <c r="P55" s="11"/>
      <c r="Q55" s="11"/>
      <c r="R55" s="51"/>
      <c r="T55" s="12"/>
      <c r="U55" s="12"/>
      <c r="V55" s="12"/>
      <c r="W55" s="12"/>
      <c r="X55" s="12"/>
      <c r="Y55" s="12"/>
      <c r="Z55" s="12"/>
      <c r="AA55" s="12"/>
      <c r="AB55" s="12"/>
      <c r="AC55" s="12"/>
      <c r="AD55" s="12"/>
    </row>
    <row r="56" spans="2:30" s="3" customFormat="1" ht="12.75" customHeight="1">
      <c r="B56" s="3" t="s">
        <v>101</v>
      </c>
      <c r="F56" s="12"/>
      <c r="H56" s="12"/>
      <c r="I56" s="25">
        <v>0</v>
      </c>
      <c r="J56" s="58"/>
      <c r="K56" s="64">
        <v>-543</v>
      </c>
      <c r="L56" s="58"/>
      <c r="M56" s="25">
        <v>-24</v>
      </c>
      <c r="N56" s="12"/>
      <c r="O56" s="25">
        <v>-543362</v>
      </c>
      <c r="P56" s="11"/>
      <c r="Q56" s="25"/>
      <c r="R56" s="51"/>
      <c r="S56" s="63">
        <f>+Q56/4</f>
        <v>0</v>
      </c>
      <c r="T56" s="12"/>
      <c r="U56" s="12"/>
      <c r="V56" s="12"/>
      <c r="W56" s="12"/>
      <c r="X56" s="12"/>
      <c r="Y56" s="12"/>
      <c r="Z56" s="12"/>
      <c r="AA56" s="12"/>
      <c r="AB56" s="12"/>
      <c r="AC56" s="12"/>
      <c r="AD56" s="12"/>
    </row>
    <row r="57" spans="6:30" s="3" customFormat="1" ht="12.75" customHeight="1">
      <c r="F57" s="12"/>
      <c r="H57" s="12"/>
      <c r="I57" s="11"/>
      <c r="J57" s="58"/>
      <c r="K57" s="58"/>
      <c r="L57" s="58"/>
      <c r="M57" s="11"/>
      <c r="N57" s="12"/>
      <c r="O57" s="11"/>
      <c r="P57" s="11"/>
      <c r="Q57" s="11"/>
      <c r="R57" s="51"/>
      <c r="S57" s="12"/>
      <c r="T57" s="12"/>
      <c r="U57" s="12"/>
      <c r="V57" s="12"/>
      <c r="W57" s="12"/>
      <c r="X57" s="12"/>
      <c r="Y57" s="12"/>
      <c r="Z57" s="12"/>
      <c r="AA57" s="12"/>
      <c r="AB57" s="12"/>
      <c r="AC57" s="12"/>
      <c r="AD57" s="12"/>
    </row>
    <row r="58" spans="9:30" s="3" customFormat="1" ht="12.75" customHeight="1">
      <c r="I58" s="74"/>
      <c r="J58" s="61"/>
      <c r="K58" s="61"/>
      <c r="L58" s="61"/>
      <c r="M58" s="74"/>
      <c r="R58" s="51"/>
      <c r="T58" s="12"/>
      <c r="U58" s="12"/>
      <c r="V58" s="12"/>
      <c r="W58" s="12"/>
      <c r="X58" s="12"/>
      <c r="Y58" s="12"/>
      <c r="Z58" s="12"/>
      <c r="AA58" s="12"/>
      <c r="AB58" s="12"/>
      <c r="AC58" s="12"/>
      <c r="AD58" s="12"/>
    </row>
    <row r="59" spans="2:30" s="3" customFormat="1" ht="12.75" customHeight="1">
      <c r="B59" s="3" t="s">
        <v>102</v>
      </c>
      <c r="F59" s="12"/>
      <c r="H59" s="12"/>
      <c r="I59" s="25">
        <f>SUM(I52:I58)</f>
        <v>1835</v>
      </c>
      <c r="J59" s="58"/>
      <c r="K59" s="64">
        <f>SUM(K52:K58)</f>
        <v>-17577</v>
      </c>
      <c r="L59" s="58"/>
      <c r="M59" s="25">
        <f>SUM(M52:M58)</f>
        <v>-386</v>
      </c>
      <c r="N59" s="12"/>
      <c r="O59" s="25">
        <f>SUM(O52:O58)</f>
        <v>-17576826</v>
      </c>
      <c r="P59" s="11"/>
      <c r="Q59" s="25">
        <f>SUM(Q52:Q58)</f>
        <v>-17424</v>
      </c>
      <c r="R59" s="51"/>
      <c r="S59" s="25">
        <f>SUM(S52:S58)</f>
        <v>-4356</v>
      </c>
      <c r="T59" s="12"/>
      <c r="U59" s="12"/>
      <c r="V59" s="12"/>
      <c r="W59" s="12"/>
      <c r="X59" s="12"/>
      <c r="Y59" s="12"/>
      <c r="Z59" s="12"/>
      <c r="AA59" s="12"/>
      <c r="AB59" s="12"/>
      <c r="AC59" s="12"/>
      <c r="AD59" s="12"/>
    </row>
    <row r="60" spans="6:30" s="3" customFormat="1" ht="12.75" customHeight="1">
      <c r="F60" s="12"/>
      <c r="H60" s="12"/>
      <c r="I60" s="11"/>
      <c r="J60" s="58"/>
      <c r="K60" s="58"/>
      <c r="L60" s="58"/>
      <c r="M60" s="11"/>
      <c r="N60" s="12"/>
      <c r="O60" s="11"/>
      <c r="P60" s="11"/>
      <c r="Q60" s="11"/>
      <c r="R60" s="51"/>
      <c r="T60" s="12"/>
      <c r="U60" s="12"/>
      <c r="V60" s="12"/>
      <c r="W60" s="12"/>
      <c r="X60" s="12"/>
      <c r="Y60" s="12"/>
      <c r="Z60" s="12"/>
      <c r="AA60" s="12"/>
      <c r="AB60" s="12"/>
      <c r="AC60" s="12"/>
      <c r="AD60" s="12"/>
    </row>
    <row r="61" spans="6:30" s="3" customFormat="1" ht="12.75" customHeight="1">
      <c r="F61" s="12"/>
      <c r="H61" s="12"/>
      <c r="I61" s="11"/>
      <c r="J61" s="58"/>
      <c r="K61" s="58"/>
      <c r="L61" s="58"/>
      <c r="M61" s="11"/>
      <c r="N61" s="12"/>
      <c r="O61" s="11"/>
      <c r="P61" s="11"/>
      <c r="Q61" s="11"/>
      <c r="R61" s="51"/>
      <c r="T61" s="12"/>
      <c r="U61" s="12"/>
      <c r="V61" s="12"/>
      <c r="W61" s="12"/>
      <c r="X61" s="12"/>
      <c r="Y61" s="12"/>
      <c r="Z61" s="12"/>
      <c r="AA61" s="12"/>
      <c r="AB61" s="12"/>
      <c r="AC61" s="12"/>
      <c r="AD61" s="12"/>
    </row>
    <row r="62" spans="1:30" s="3" customFormat="1" ht="12.75" customHeight="1">
      <c r="A62" s="56" t="s">
        <v>103</v>
      </c>
      <c r="F62" s="12"/>
      <c r="H62" s="12"/>
      <c r="I62" s="11">
        <f>I41+I48+I59</f>
        <v>9839</v>
      </c>
      <c r="J62" s="58"/>
      <c r="K62" s="58">
        <f>K41+K48+K59</f>
        <v>-26</v>
      </c>
      <c r="L62" s="58"/>
      <c r="M62" s="11">
        <f>M41+M48+M59</f>
        <v>2149</v>
      </c>
      <c r="N62" s="12"/>
      <c r="O62" s="11">
        <f>O41+O48+O59</f>
        <v>-27858</v>
      </c>
      <c r="P62" s="11"/>
      <c r="Q62" s="11">
        <f>Q41+Q48+Q59</f>
        <v>11291</v>
      </c>
      <c r="R62" s="51"/>
      <c r="S62" s="11">
        <f>S41+S48+S59</f>
        <v>-6624</v>
      </c>
      <c r="T62" s="12"/>
      <c r="U62" s="12"/>
      <c r="V62" s="12"/>
      <c r="W62" s="12"/>
      <c r="X62" s="12"/>
      <c r="Y62" s="12"/>
      <c r="Z62" s="12"/>
      <c r="AA62" s="12"/>
      <c r="AB62" s="12"/>
      <c r="AC62" s="12"/>
      <c r="AD62" s="12"/>
    </row>
    <row r="63" spans="2:30" s="3" customFormat="1" ht="12.75" customHeight="1">
      <c r="B63" s="3" t="s">
        <v>107</v>
      </c>
      <c r="F63" s="12"/>
      <c r="H63" s="12"/>
      <c r="I63" s="25">
        <v>-7477</v>
      </c>
      <c r="J63" s="58"/>
      <c r="K63" s="64">
        <v>-8835</v>
      </c>
      <c r="L63" s="58"/>
      <c r="M63" s="25">
        <v>-6353</v>
      </c>
      <c r="N63" s="12"/>
      <c r="O63" s="25">
        <v>-8834644</v>
      </c>
      <c r="P63" s="11"/>
      <c r="Q63" s="25">
        <v>-11885</v>
      </c>
      <c r="R63" s="51"/>
      <c r="S63" s="63">
        <v>-11885</v>
      </c>
      <c r="T63" s="12"/>
      <c r="U63" s="12"/>
      <c r="V63" s="12"/>
      <c r="W63" s="12"/>
      <c r="X63" s="12"/>
      <c r="Y63" s="12"/>
      <c r="Z63" s="12"/>
      <c r="AA63" s="12"/>
      <c r="AB63" s="12"/>
      <c r="AC63" s="12"/>
      <c r="AD63" s="12"/>
    </row>
    <row r="64" spans="6:30" s="3" customFormat="1" ht="12.75" customHeight="1">
      <c r="F64" s="12"/>
      <c r="H64" s="12"/>
      <c r="I64" s="11"/>
      <c r="J64" s="58"/>
      <c r="K64" s="58"/>
      <c r="L64" s="58"/>
      <c r="M64" s="11"/>
      <c r="N64" s="12"/>
      <c r="O64" s="11"/>
      <c r="P64" s="11"/>
      <c r="Q64" s="11"/>
      <c r="R64" s="51"/>
      <c r="S64" s="12"/>
      <c r="T64" s="12"/>
      <c r="U64" s="12"/>
      <c r="V64" s="12"/>
      <c r="W64" s="12"/>
      <c r="X64" s="12"/>
      <c r="Y64" s="12"/>
      <c r="Z64" s="12"/>
      <c r="AA64" s="12"/>
      <c r="AB64" s="12"/>
      <c r="AC64" s="12"/>
      <c r="AD64" s="12"/>
    </row>
    <row r="65" spans="6:30" s="3" customFormat="1" ht="12.75" customHeight="1">
      <c r="F65" s="12"/>
      <c r="H65" s="12"/>
      <c r="I65" s="11"/>
      <c r="J65" s="58"/>
      <c r="K65" s="58"/>
      <c r="L65" s="58"/>
      <c r="M65" s="11"/>
      <c r="N65" s="12"/>
      <c r="O65" s="11"/>
      <c r="P65" s="11"/>
      <c r="Q65" s="11"/>
      <c r="R65" s="51"/>
      <c r="T65" s="12"/>
      <c r="U65" s="12"/>
      <c r="V65" s="12"/>
      <c r="W65" s="12"/>
      <c r="X65" s="12"/>
      <c r="Y65" s="12"/>
      <c r="Z65" s="12"/>
      <c r="AA65" s="12"/>
      <c r="AB65" s="12"/>
      <c r="AC65" s="12"/>
      <c r="AD65" s="12"/>
    </row>
    <row r="66" spans="1:30" s="3" customFormat="1" ht="12.75" customHeight="1">
      <c r="A66" s="56" t="s">
        <v>104</v>
      </c>
      <c r="F66" s="12"/>
      <c r="H66" s="12"/>
      <c r="I66" s="11"/>
      <c r="J66" s="58"/>
      <c r="K66" s="58"/>
      <c r="L66" s="58"/>
      <c r="M66" s="11"/>
      <c r="N66" s="12"/>
      <c r="O66" s="11"/>
      <c r="P66" s="11"/>
      <c r="Q66" s="11"/>
      <c r="R66" s="51"/>
      <c r="T66" s="12"/>
      <c r="U66" s="12"/>
      <c r="V66" s="12"/>
      <c r="W66" s="12"/>
      <c r="X66" s="12"/>
      <c r="Y66" s="12"/>
      <c r="Z66" s="12"/>
      <c r="AA66" s="12"/>
      <c r="AB66" s="12"/>
      <c r="AC66" s="12"/>
      <c r="AD66" s="12"/>
    </row>
    <row r="67" spans="1:30" s="3" customFormat="1" ht="12.75" customHeight="1" thickBot="1">
      <c r="A67" s="56" t="s">
        <v>108</v>
      </c>
      <c r="B67" s="57"/>
      <c r="F67" s="12"/>
      <c r="H67" s="12"/>
      <c r="I67" s="72">
        <f>SUM(I62:I66)</f>
        <v>2362</v>
      </c>
      <c r="J67" s="58"/>
      <c r="K67" s="71">
        <f>SUM(K62:K66)</f>
        <v>-8861</v>
      </c>
      <c r="L67" s="58"/>
      <c r="M67" s="72">
        <f>SUM(M62:M66)</f>
        <v>-4204</v>
      </c>
      <c r="N67" s="12"/>
      <c r="O67" s="27">
        <f>SUM(O62:O66)</f>
        <v>-8862502</v>
      </c>
      <c r="P67" s="11"/>
      <c r="Q67" s="72">
        <f>SUM(Q62:Q66)</f>
        <v>-594</v>
      </c>
      <c r="R67" s="51"/>
      <c r="S67" s="72">
        <f>SUM(S62:S66)</f>
        <v>-18509</v>
      </c>
      <c r="T67" s="12"/>
      <c r="U67" s="12"/>
      <c r="V67" s="12"/>
      <c r="W67" s="12"/>
      <c r="X67" s="12"/>
      <c r="Y67" s="12"/>
      <c r="Z67" s="12"/>
      <c r="AA67" s="12"/>
      <c r="AB67" s="12"/>
      <c r="AC67" s="12"/>
      <c r="AD67" s="12"/>
    </row>
    <row r="68" spans="1:30" s="3" customFormat="1" ht="12.75" customHeight="1">
      <c r="A68" s="56"/>
      <c r="B68" s="57"/>
      <c r="F68" s="12"/>
      <c r="H68" s="12"/>
      <c r="I68" s="11"/>
      <c r="J68" s="58"/>
      <c r="K68" s="58"/>
      <c r="L68" s="58"/>
      <c r="M68" s="11"/>
      <c r="N68" s="12"/>
      <c r="O68" s="11"/>
      <c r="P68" s="11"/>
      <c r="Q68" s="11"/>
      <c r="R68" s="51"/>
      <c r="S68" s="11"/>
      <c r="T68" s="12"/>
      <c r="U68" s="12"/>
      <c r="V68" s="12"/>
      <c r="W68" s="12"/>
      <c r="X68" s="12"/>
      <c r="Y68" s="12"/>
      <c r="Z68" s="12"/>
      <c r="AA68" s="12"/>
      <c r="AB68" s="12"/>
      <c r="AC68" s="12"/>
      <c r="AD68" s="12"/>
    </row>
    <row r="69" spans="1:30" s="3" customFormat="1" ht="12.75" customHeight="1">
      <c r="A69" s="56"/>
      <c r="B69" s="57"/>
      <c r="F69" s="12"/>
      <c r="H69" s="12"/>
      <c r="I69" s="11"/>
      <c r="J69" s="58"/>
      <c r="K69" s="58"/>
      <c r="L69" s="58"/>
      <c r="M69" s="11"/>
      <c r="N69" s="12"/>
      <c r="O69" s="11"/>
      <c r="P69" s="11"/>
      <c r="Q69" s="11"/>
      <c r="R69" s="51"/>
      <c r="S69" s="11"/>
      <c r="T69" s="12"/>
      <c r="U69" s="12"/>
      <c r="V69" s="12"/>
      <c r="W69" s="12"/>
      <c r="X69" s="12"/>
      <c r="Y69" s="12"/>
      <c r="Z69" s="12"/>
      <c r="AA69" s="12"/>
      <c r="AB69" s="12"/>
      <c r="AC69" s="12"/>
      <c r="AD69" s="12"/>
    </row>
    <row r="70" spans="1:30" s="3" customFormat="1" ht="12.75" customHeight="1">
      <c r="A70" s="56" t="s">
        <v>104</v>
      </c>
      <c r="F70" s="12"/>
      <c r="H70" s="12"/>
      <c r="I70" s="11"/>
      <c r="J70" s="58"/>
      <c r="K70" s="58"/>
      <c r="L70" s="58"/>
      <c r="M70" s="11"/>
      <c r="N70" s="12"/>
      <c r="O70" s="11"/>
      <c r="P70" s="11"/>
      <c r="Q70" s="11"/>
      <c r="R70" s="51"/>
      <c r="S70" s="11"/>
      <c r="T70" s="12"/>
      <c r="U70" s="12"/>
      <c r="V70" s="12"/>
      <c r="W70" s="12"/>
      <c r="X70" s="12"/>
      <c r="Y70" s="12"/>
      <c r="Z70" s="12"/>
      <c r="AA70" s="12"/>
      <c r="AB70" s="12"/>
      <c r="AC70" s="12"/>
      <c r="AD70" s="12"/>
    </row>
    <row r="71" spans="1:30" s="3" customFormat="1" ht="12.75" customHeight="1">
      <c r="A71" s="56" t="s">
        <v>109</v>
      </c>
      <c r="B71" s="57"/>
      <c r="F71" s="12"/>
      <c r="H71" s="12"/>
      <c r="I71" s="11"/>
      <c r="J71" s="58"/>
      <c r="K71" s="58"/>
      <c r="L71" s="58"/>
      <c r="M71" s="11"/>
      <c r="N71" s="12"/>
      <c r="O71" s="11"/>
      <c r="P71" s="11"/>
      <c r="Q71" s="11"/>
      <c r="R71" s="51"/>
      <c r="S71" s="11"/>
      <c r="T71" s="12"/>
      <c r="U71" s="12"/>
      <c r="V71" s="12"/>
      <c r="W71" s="12"/>
      <c r="X71" s="12"/>
      <c r="Y71" s="12"/>
      <c r="Z71" s="12"/>
      <c r="AA71" s="12"/>
      <c r="AB71" s="12"/>
      <c r="AC71" s="12"/>
      <c r="AD71" s="12"/>
    </row>
    <row r="72" spans="1:30" s="3" customFormat="1" ht="12.75" customHeight="1">
      <c r="A72" s="56"/>
      <c r="B72" s="57"/>
      <c r="F72" s="12"/>
      <c r="H72" s="12"/>
      <c r="I72" s="11"/>
      <c r="J72" s="58"/>
      <c r="K72" s="58"/>
      <c r="L72" s="58"/>
      <c r="M72" s="11"/>
      <c r="N72" s="12"/>
      <c r="O72" s="11"/>
      <c r="P72" s="11"/>
      <c r="Q72" s="11"/>
      <c r="R72" s="51"/>
      <c r="S72" s="11"/>
      <c r="T72" s="12"/>
      <c r="U72" s="12"/>
      <c r="V72" s="12"/>
      <c r="W72" s="12"/>
      <c r="X72" s="12"/>
      <c r="Y72" s="12"/>
      <c r="Z72" s="12"/>
      <c r="AA72" s="12"/>
      <c r="AB72" s="12"/>
      <c r="AC72" s="12"/>
      <c r="AD72" s="12"/>
    </row>
    <row r="73" spans="1:30" s="3" customFormat="1" ht="12.75" customHeight="1">
      <c r="A73" s="56"/>
      <c r="B73" s="57"/>
      <c r="F73" s="12"/>
      <c r="H73" s="12"/>
      <c r="I73" s="11"/>
      <c r="J73" s="58"/>
      <c r="K73" s="58"/>
      <c r="L73" s="58"/>
      <c r="M73" s="11"/>
      <c r="N73" s="12"/>
      <c r="O73" s="11"/>
      <c r="P73" s="11"/>
      <c r="Q73" s="11"/>
      <c r="R73" s="51"/>
      <c r="S73" s="11"/>
      <c r="T73" s="12"/>
      <c r="U73" s="12"/>
      <c r="V73" s="12"/>
      <c r="W73" s="12"/>
      <c r="X73" s="12"/>
      <c r="Y73" s="12"/>
      <c r="Z73" s="12"/>
      <c r="AA73" s="12"/>
      <c r="AB73" s="12"/>
      <c r="AC73" s="12"/>
      <c r="AD73" s="12"/>
    </row>
    <row r="74" spans="1:30" s="3" customFormat="1" ht="12.75" customHeight="1">
      <c r="A74" s="56"/>
      <c r="B74" s="66" t="s">
        <v>110</v>
      </c>
      <c r="F74" s="12"/>
      <c r="H74" s="12"/>
      <c r="I74" s="11">
        <v>7496</v>
      </c>
      <c r="J74" s="58"/>
      <c r="K74" s="58"/>
      <c r="L74" s="58"/>
      <c r="M74" s="11">
        <v>7927</v>
      </c>
      <c r="N74" s="12"/>
      <c r="O74" s="11"/>
      <c r="P74" s="11"/>
      <c r="Q74" s="11"/>
      <c r="R74" s="51"/>
      <c r="S74" s="11"/>
      <c r="T74" s="12"/>
      <c r="U74" s="12"/>
      <c r="V74" s="12"/>
      <c r="W74" s="12"/>
      <c r="X74" s="12"/>
      <c r="Y74" s="12"/>
      <c r="Z74" s="12"/>
      <c r="AA74" s="12"/>
      <c r="AB74" s="12"/>
      <c r="AC74" s="12"/>
      <c r="AD74" s="12"/>
    </row>
    <row r="75" spans="1:30" s="3" customFormat="1" ht="12.75" customHeight="1">
      <c r="A75" s="56"/>
      <c r="B75" s="66" t="s">
        <v>111</v>
      </c>
      <c r="F75" s="12"/>
      <c r="H75" s="12"/>
      <c r="I75" s="11">
        <v>-5134</v>
      </c>
      <c r="J75" s="58"/>
      <c r="K75" s="58"/>
      <c r="L75" s="58"/>
      <c r="M75" s="11">
        <v>-12131</v>
      </c>
      <c r="N75" s="12"/>
      <c r="O75" s="11"/>
      <c r="P75" s="11"/>
      <c r="Q75" s="11"/>
      <c r="R75" s="51"/>
      <c r="S75" s="11"/>
      <c r="T75" s="12"/>
      <c r="U75" s="12"/>
      <c r="V75" s="12"/>
      <c r="W75" s="12"/>
      <c r="X75" s="12"/>
      <c r="Y75" s="12"/>
      <c r="Z75" s="12"/>
      <c r="AA75" s="12"/>
      <c r="AB75" s="12"/>
      <c r="AC75" s="12"/>
      <c r="AD75" s="12"/>
    </row>
    <row r="76" spans="1:30" s="3" customFormat="1" ht="12.75" customHeight="1" thickBot="1">
      <c r="A76" s="56"/>
      <c r="B76" s="57"/>
      <c r="F76" s="12"/>
      <c r="H76" s="12"/>
      <c r="I76" s="75">
        <f>+I74+I75</f>
        <v>2362</v>
      </c>
      <c r="J76" s="58"/>
      <c r="K76" s="58"/>
      <c r="L76" s="58"/>
      <c r="M76" s="75">
        <f>SUM(M74:M75)</f>
        <v>-4204</v>
      </c>
      <c r="N76" s="12"/>
      <c r="O76" s="11"/>
      <c r="P76" s="11"/>
      <c r="Q76" s="11"/>
      <c r="R76" s="51"/>
      <c r="S76" s="11"/>
      <c r="T76" s="12"/>
      <c r="U76" s="12"/>
      <c r="V76" s="12"/>
      <c r="W76" s="12"/>
      <c r="X76" s="12"/>
      <c r="Y76" s="12"/>
      <c r="Z76" s="12"/>
      <c r="AA76" s="12"/>
      <c r="AB76" s="12"/>
      <c r="AC76" s="12"/>
      <c r="AD76" s="12"/>
    </row>
    <row r="77" spans="1:30" s="3" customFormat="1" ht="12.75" customHeight="1">
      <c r="A77" s="56"/>
      <c r="B77" s="57"/>
      <c r="F77" s="12"/>
      <c r="H77" s="12"/>
      <c r="I77" s="58"/>
      <c r="J77" s="58"/>
      <c r="K77" s="58"/>
      <c r="L77" s="58"/>
      <c r="M77" s="11"/>
      <c r="N77" s="12"/>
      <c r="O77" s="11"/>
      <c r="P77" s="11"/>
      <c r="Q77" s="11"/>
      <c r="R77" s="51"/>
      <c r="S77" s="11"/>
      <c r="T77" s="12"/>
      <c r="U77" s="12"/>
      <c r="V77" s="12"/>
      <c r="W77" s="12"/>
      <c r="X77" s="12"/>
      <c r="Y77" s="12"/>
      <c r="Z77" s="12"/>
      <c r="AA77" s="12"/>
      <c r="AB77" s="12"/>
      <c r="AC77" s="12"/>
      <c r="AD77" s="12"/>
    </row>
    <row r="78" s="3" customFormat="1" ht="12.75" customHeight="1"/>
    <row r="79" s="3" customFormat="1" ht="12.75" customHeight="1"/>
    <row r="80" s="3" customFormat="1" ht="12.75" customHeight="1"/>
    <row r="81" s="3" customFormat="1" ht="12.75" customHeight="1"/>
    <row r="82" s="3" customFormat="1" ht="12.75" customHeight="1"/>
    <row r="83" s="3" customFormat="1" ht="12.75" customHeight="1"/>
    <row r="84" s="3" customFormat="1" ht="12.75" customHeight="1"/>
    <row r="85" s="3" customFormat="1" ht="12.75" customHeight="1"/>
    <row r="86" s="3" customFormat="1" ht="12.75" customHeight="1"/>
    <row r="87" s="3" customFormat="1" ht="12.75" customHeight="1"/>
    <row r="88" s="3" customFormat="1" ht="12.75" customHeight="1"/>
    <row r="89" s="3" customFormat="1" ht="12.75" customHeight="1"/>
    <row r="90" s="3" customFormat="1" ht="12.75" customHeight="1"/>
    <row r="91" s="3" customFormat="1" ht="12.75" customHeight="1"/>
    <row r="92" s="3" customFormat="1" ht="12.75" customHeight="1"/>
    <row r="93" s="3" customFormat="1" ht="12.75" customHeight="1"/>
    <row r="94" s="3" customFormat="1" ht="12.75" customHeight="1"/>
    <row r="95" s="3" customFormat="1" ht="12.75" customHeight="1"/>
    <row r="96" s="3" customFormat="1" ht="12.75" customHeight="1"/>
    <row r="97" s="3" customFormat="1" ht="12.75" customHeight="1"/>
    <row r="98" s="3" customFormat="1" ht="12.75" customHeight="1"/>
    <row r="99" s="3" customFormat="1" ht="12.75" customHeight="1"/>
    <row r="100" s="3" customFormat="1" ht="12.75" customHeight="1"/>
    <row r="101" s="3" customFormat="1" ht="12.75" customHeight="1"/>
    <row r="102" s="3" customFormat="1" ht="12.75" customHeight="1"/>
    <row r="103" s="3" customFormat="1" ht="12.75" customHeight="1"/>
    <row r="104" s="3" customFormat="1" ht="12.75" customHeight="1"/>
    <row r="105" s="3" customFormat="1" ht="12.75" customHeight="1"/>
    <row r="106" s="3" customFormat="1" ht="12.75" customHeight="1"/>
    <row r="107" s="3" customFormat="1" ht="12.75" customHeight="1"/>
    <row r="108" s="3" customFormat="1" ht="12.75" customHeight="1"/>
    <row r="109" s="3" customFormat="1" ht="12.75" customHeight="1"/>
    <row r="110" s="3" customFormat="1" ht="12.75" customHeight="1"/>
    <row r="111" s="3" customFormat="1" ht="12.75" customHeight="1"/>
    <row r="112" s="3" customFormat="1" ht="12.75" customHeight="1"/>
    <row r="113" s="3" customFormat="1" ht="12.75" customHeight="1"/>
    <row r="114" s="3" customFormat="1" ht="12.75" customHeight="1"/>
    <row r="115" s="3" customFormat="1" ht="12.75" customHeight="1"/>
    <row r="116" s="3" customFormat="1" ht="12.75" customHeight="1"/>
    <row r="117" s="3" customFormat="1" ht="12.75" customHeight="1"/>
    <row r="118" s="3" customFormat="1" ht="12.75" customHeight="1"/>
    <row r="119" s="3" customFormat="1" ht="12.75" customHeight="1"/>
    <row r="120" s="3" customFormat="1" ht="12.75" customHeight="1"/>
    <row r="121" s="3" customFormat="1" ht="12.75" customHeight="1"/>
    <row r="122" s="3" customFormat="1" ht="12.75" customHeight="1"/>
    <row r="123" s="3" customFormat="1" ht="12.75" customHeight="1"/>
    <row r="124" s="3" customFormat="1" ht="12.75" customHeight="1"/>
    <row r="125" s="3" customFormat="1" ht="12.75" customHeight="1"/>
    <row r="126" s="3" customFormat="1" ht="12.75" customHeight="1"/>
    <row r="127" s="3" customFormat="1" ht="12.75" customHeight="1"/>
    <row r="128" s="3" customFormat="1" ht="12.75" customHeight="1"/>
    <row r="129" s="3" customFormat="1" ht="12.75" customHeight="1"/>
    <row r="130" s="3" customFormat="1" ht="12.75" customHeight="1"/>
    <row r="131" s="3" customFormat="1" ht="12.75" customHeight="1"/>
    <row r="132" s="3" customFormat="1" ht="12.75" customHeight="1"/>
    <row r="133" s="3" customFormat="1" ht="12.75" customHeight="1"/>
    <row r="134" s="3" customFormat="1" ht="12.75" customHeight="1"/>
    <row r="135" s="3" customFormat="1" ht="12.75" customHeight="1"/>
    <row r="136" s="3" customFormat="1" ht="12.75" customHeight="1"/>
    <row r="137" s="3" customFormat="1" ht="12.75" customHeight="1"/>
    <row r="138" s="3" customFormat="1" ht="12.75" customHeight="1"/>
    <row r="139" s="3" customFormat="1" ht="12.75" customHeight="1"/>
    <row r="140" s="3" customFormat="1" ht="12.75" customHeight="1"/>
    <row r="141" s="3" customFormat="1" ht="12.75" customHeight="1"/>
    <row r="142" s="3" customFormat="1" ht="12.75" customHeight="1"/>
    <row r="143" s="3" customFormat="1" ht="12.75" customHeight="1"/>
  </sheetData>
  <printOptions/>
  <pageMargins left="0.5" right="0.5" top="1" bottom="0.75" header="0.5" footer="0.5"/>
  <pageSetup firstPageNumber="2" useFirstPageNumber="1" horizontalDpi="300" verticalDpi="300" orientation="portrait" paperSize="9" r:id="rId1"/>
  <rowBreaks count="1" manualBreakCount="1">
    <brk id="42" max="12" man="1"/>
  </rowBreaks>
</worksheet>
</file>

<file path=xl/worksheets/sheet4.xml><?xml version="1.0" encoding="utf-8"?>
<worksheet xmlns="http://schemas.openxmlformats.org/spreadsheetml/2006/main" xmlns:r="http://schemas.openxmlformats.org/officeDocument/2006/relationships">
  <dimension ref="A1:E56"/>
  <sheetViews>
    <sheetView workbookViewId="0" topLeftCell="A37">
      <selection activeCell="C56" sqref="C56"/>
    </sheetView>
  </sheetViews>
  <sheetFormatPr defaultColWidth="9.140625" defaultRowHeight="12.75"/>
  <cols>
    <col min="1" max="1" width="4.7109375" style="0" customWidth="1"/>
    <col min="2" max="2" width="45.28125" style="0" customWidth="1"/>
    <col min="3" max="3" width="10.57421875" style="15" customWidth="1"/>
    <col min="4" max="4" width="1.1484375" style="15" customWidth="1"/>
    <col min="5" max="5" width="10.57421875" style="15" customWidth="1"/>
  </cols>
  <sheetData>
    <row r="1" spans="1:5" s="2" customFormat="1" ht="15.75">
      <c r="A1" s="138" t="s">
        <v>9</v>
      </c>
      <c r="C1" s="16"/>
      <c r="D1" s="16"/>
      <c r="E1" s="16"/>
    </row>
    <row r="2" spans="3:5" s="2" customFormat="1" ht="15.75">
      <c r="C2" s="16"/>
      <c r="D2" s="16"/>
      <c r="E2" s="16"/>
    </row>
    <row r="3" spans="1:5" s="2" customFormat="1" ht="15.75">
      <c r="A3" s="138" t="s">
        <v>39</v>
      </c>
      <c r="C3" s="16"/>
      <c r="D3" s="16"/>
      <c r="E3" s="16"/>
    </row>
    <row r="4" spans="1:5" s="2" customFormat="1" ht="15.75">
      <c r="A4" s="138" t="s">
        <v>131</v>
      </c>
      <c r="C4" s="16"/>
      <c r="D4" s="16"/>
      <c r="E4" s="16"/>
    </row>
    <row r="6" spans="3:5" s="1" customFormat="1" ht="12.75">
      <c r="C6" s="17" t="s">
        <v>40</v>
      </c>
      <c r="D6" s="17"/>
      <c r="E6" s="17" t="s">
        <v>41</v>
      </c>
    </row>
    <row r="7" spans="3:5" s="1" customFormat="1" ht="12.75">
      <c r="C7" s="76" t="s">
        <v>129</v>
      </c>
      <c r="D7" s="18"/>
      <c r="E7" s="76" t="s">
        <v>157</v>
      </c>
    </row>
    <row r="8" spans="3:5" s="1" customFormat="1" ht="12.75">
      <c r="C8" s="17" t="s">
        <v>53</v>
      </c>
      <c r="D8" s="17"/>
      <c r="E8" s="17" t="s">
        <v>53</v>
      </c>
    </row>
    <row r="9" spans="3:5" s="3" customFormat="1" ht="12.75">
      <c r="C9" s="12"/>
      <c r="D9" s="12"/>
      <c r="E9" s="12"/>
    </row>
    <row r="10" spans="1:5" s="3" customFormat="1" ht="12.75">
      <c r="A10" s="1" t="s">
        <v>23</v>
      </c>
      <c r="C10" s="11">
        <f>'[2]bs-summary'!$D$28</f>
        <v>7984.034129999996</v>
      </c>
      <c r="D10" s="11"/>
      <c r="E10" s="11">
        <v>5881</v>
      </c>
    </row>
    <row r="11" spans="1:5" s="3" customFormat="1" ht="12.75">
      <c r="A11" s="1" t="s">
        <v>24</v>
      </c>
      <c r="C11" s="11">
        <f>'[2]bs-summary'!$D$30</f>
        <v>769.849</v>
      </c>
      <c r="D11" s="11"/>
      <c r="E11" s="11">
        <v>3536</v>
      </c>
    </row>
    <row r="12" spans="1:5" s="3" customFormat="1" ht="12.75">
      <c r="A12" s="1" t="s">
        <v>25</v>
      </c>
      <c r="C12" s="11">
        <f>'[2]bs-summary'!$D$34</f>
        <v>425</v>
      </c>
      <c r="D12" s="11"/>
      <c r="E12" s="11">
        <v>425</v>
      </c>
    </row>
    <row r="13" spans="1:5" s="3" customFormat="1" ht="12.75">
      <c r="A13" s="1" t="s">
        <v>115</v>
      </c>
      <c r="C13" s="11">
        <f>-'[2]bs-summary'!$D$18</f>
        <v>180.228</v>
      </c>
      <c r="D13" s="11"/>
      <c r="E13" s="11">
        <v>225</v>
      </c>
    </row>
    <row r="14" spans="1:5" s="3" customFormat="1" ht="12.75">
      <c r="A14" s="1" t="s">
        <v>118</v>
      </c>
      <c r="C14" s="11">
        <f>'[2]bs-summary'!$D$36</f>
        <v>5281.503825</v>
      </c>
      <c r="D14" s="11"/>
      <c r="E14" s="11">
        <v>0</v>
      </c>
    </row>
    <row r="15" spans="1:5" s="3" customFormat="1" ht="12.75">
      <c r="A15" s="1"/>
      <c r="C15" s="11"/>
      <c r="D15" s="11"/>
      <c r="E15" s="11"/>
    </row>
    <row r="16" spans="3:5" s="3" customFormat="1" ht="12.75">
      <c r="C16" s="11"/>
      <c r="D16" s="11"/>
      <c r="E16" s="11"/>
    </row>
    <row r="17" spans="1:5" s="3" customFormat="1" ht="12.75">
      <c r="A17" s="1" t="s">
        <v>10</v>
      </c>
      <c r="C17" s="11"/>
      <c r="D17" s="11"/>
      <c r="E17" s="11"/>
    </row>
    <row r="18" spans="2:5" s="3" customFormat="1" ht="12.75">
      <c r="B18" s="3" t="s">
        <v>26</v>
      </c>
      <c r="C18" s="11">
        <f>'[2]bs-summary'!$D$39</f>
        <v>5122.149</v>
      </c>
      <c r="D18" s="11"/>
      <c r="E18" s="11">
        <v>4242</v>
      </c>
    </row>
    <row r="19" spans="2:5" s="3" customFormat="1" ht="12.75">
      <c r="B19" s="3" t="s">
        <v>30</v>
      </c>
      <c r="C19" s="11">
        <f>'[2]bs-summary'!$D$38</f>
        <v>42027.07817</v>
      </c>
      <c r="D19" s="11"/>
      <c r="E19" s="11">
        <v>41263</v>
      </c>
    </row>
    <row r="20" spans="2:5" s="3" customFormat="1" ht="12.75">
      <c r="B20" s="3" t="s">
        <v>29</v>
      </c>
      <c r="C20" s="11">
        <f>'[2]bs-summary'!$D$40</f>
        <v>10214.21019</v>
      </c>
      <c r="D20" s="11"/>
      <c r="E20" s="11">
        <v>6818</v>
      </c>
    </row>
    <row r="21" spans="2:5" s="3" customFormat="1" ht="12.75">
      <c r="B21" s="3" t="s">
        <v>11</v>
      </c>
      <c r="C21" s="11">
        <f>'[3]bs-summary'!$D$41+'[3]bs-summary'!$D$42</f>
        <v>43281.33588</v>
      </c>
      <c r="D21" s="11"/>
      <c r="E21" s="11">
        <f>37452+17175</f>
        <v>54627</v>
      </c>
    </row>
    <row r="22" spans="2:5" s="3" customFormat="1" ht="12.75">
      <c r="B22" s="3" t="s">
        <v>27</v>
      </c>
      <c r="C22" s="11">
        <f>'[2]bs-summary'!$D$46+'[2]bs-summary'!$D$47</f>
        <v>5835.64732</v>
      </c>
      <c r="D22" s="11"/>
      <c r="E22" s="11">
        <f>2225+4989+2669</f>
        <v>9883</v>
      </c>
    </row>
    <row r="23" spans="3:5" s="3" customFormat="1" ht="12.75">
      <c r="C23" s="19">
        <f>SUM(C18:C22)</f>
        <v>106480.42056</v>
      </c>
      <c r="D23" s="11"/>
      <c r="E23" s="19">
        <f>SUM(E18:E22)</f>
        <v>116833</v>
      </c>
    </row>
    <row r="24" spans="3:5" s="3" customFormat="1" ht="12.75">
      <c r="C24" s="11"/>
      <c r="D24" s="11"/>
      <c r="E24" s="11"/>
    </row>
    <row r="25" spans="1:5" s="3" customFormat="1" ht="12.75">
      <c r="A25" s="1" t="s">
        <v>12</v>
      </c>
      <c r="C25" s="11"/>
      <c r="D25" s="11"/>
      <c r="E25" s="11"/>
    </row>
    <row r="26" spans="2:5" s="3" customFormat="1" ht="12.75">
      <c r="B26" s="3" t="s">
        <v>13</v>
      </c>
      <c r="C26" s="11">
        <v>44032</v>
      </c>
      <c r="D26" s="11"/>
      <c r="E26" s="11">
        <f>-(-39679-11802-98-472)</f>
        <v>52051</v>
      </c>
    </row>
    <row r="27" spans="2:5" s="3" customFormat="1" ht="12.75">
      <c r="B27" s="3" t="s">
        <v>22</v>
      </c>
      <c r="C27" s="11">
        <v>11506</v>
      </c>
      <c r="D27" s="11"/>
      <c r="E27" s="11">
        <v>15305</v>
      </c>
    </row>
    <row r="28" spans="2:5" s="3" customFormat="1" ht="12.75">
      <c r="B28" s="3" t="s">
        <v>119</v>
      </c>
      <c r="C28" s="11">
        <v>195</v>
      </c>
      <c r="D28" s="11"/>
      <c r="E28" s="11">
        <v>0</v>
      </c>
    </row>
    <row r="29" spans="2:5" s="3" customFormat="1" ht="12.75">
      <c r="B29" s="3" t="s">
        <v>8</v>
      </c>
      <c r="C29" s="11">
        <f>'[2]bs-summary'!$D$63</f>
        <v>7640.441848</v>
      </c>
      <c r="D29" s="11"/>
      <c r="E29" s="11">
        <v>7585</v>
      </c>
    </row>
    <row r="30" spans="3:5" s="3" customFormat="1" ht="12.75">
      <c r="C30" s="19">
        <f>SUM(C25:C29)</f>
        <v>63373.441848</v>
      </c>
      <c r="D30" s="11"/>
      <c r="E30" s="19">
        <f>SUM(E25:E29)</f>
        <v>74941</v>
      </c>
    </row>
    <row r="31" spans="3:5" s="3" customFormat="1" ht="12.75">
      <c r="C31" s="11"/>
      <c r="D31" s="11"/>
      <c r="E31" s="11"/>
    </row>
    <row r="32" spans="1:5" s="3" customFormat="1" ht="12.75">
      <c r="A32" s="1" t="s">
        <v>60</v>
      </c>
      <c r="C32" s="11">
        <f>+C23-C30</f>
        <v>43106.978712</v>
      </c>
      <c r="D32" s="11"/>
      <c r="E32" s="11">
        <f>+E23-E30</f>
        <v>41892</v>
      </c>
    </row>
    <row r="33" spans="3:5" s="3" customFormat="1" ht="12.75">
      <c r="C33" s="11"/>
      <c r="D33" s="11"/>
      <c r="E33" s="11"/>
    </row>
    <row r="34" spans="3:5" s="1" customFormat="1" ht="13.5" thickBot="1">
      <c r="C34" s="24">
        <f>+C32+SUM(C9:C15)</f>
        <v>57747.593666999994</v>
      </c>
      <c r="D34" s="39"/>
      <c r="E34" s="24">
        <f>+E32+SUM(E9:E15)</f>
        <v>51959</v>
      </c>
    </row>
    <row r="35" spans="2:5" s="3" customFormat="1" ht="13.5" thickTop="1">
      <c r="B35" s="3" t="s">
        <v>0</v>
      </c>
      <c r="C35" s="11" t="s">
        <v>0</v>
      </c>
      <c r="D35" s="11"/>
      <c r="E35" s="11"/>
    </row>
    <row r="36" spans="1:5" s="3" customFormat="1" ht="12.75">
      <c r="A36" s="3" t="s">
        <v>15</v>
      </c>
      <c r="C36" s="11">
        <f>'[2]bs-summary'!$D$9</f>
        <v>42340.17899999999</v>
      </c>
      <c r="D36" s="11"/>
      <c r="E36" s="11">
        <v>39362</v>
      </c>
    </row>
    <row r="37" spans="1:5" s="3" customFormat="1" ht="12.75">
      <c r="A37" s="3" t="s">
        <v>16</v>
      </c>
      <c r="C37" s="11" t="s">
        <v>0</v>
      </c>
      <c r="D37" s="11"/>
      <c r="E37" s="11"/>
    </row>
    <row r="38" spans="2:5" s="3" customFormat="1" ht="12.75">
      <c r="B38" s="3" t="s">
        <v>17</v>
      </c>
      <c r="C38" s="11">
        <f>'[2]bs-summary'!$D$10</f>
        <v>7672.24473</v>
      </c>
      <c r="D38" s="11"/>
      <c r="E38" s="11">
        <v>5959</v>
      </c>
    </row>
    <row r="39" spans="2:5" s="3" customFormat="1" ht="12.75">
      <c r="B39" s="3" t="s">
        <v>18</v>
      </c>
      <c r="C39" s="11">
        <v>3570</v>
      </c>
      <c r="D39" s="11"/>
      <c r="E39" s="11">
        <v>3314</v>
      </c>
    </row>
    <row r="40" spans="2:5" s="3" customFormat="1" ht="12.75">
      <c r="B40" s="3" t="s">
        <v>19</v>
      </c>
      <c r="C40" s="25">
        <f>'[2]bs-summary'!$D$11</f>
        <v>29.994299999999814</v>
      </c>
      <c r="D40" s="11"/>
      <c r="E40" s="25">
        <f>30+130</f>
        <v>160</v>
      </c>
    </row>
    <row r="41" spans="1:5" s="3" customFormat="1" ht="12.75">
      <c r="A41" s="1" t="s">
        <v>14</v>
      </c>
      <c r="C41" s="11">
        <f>SUM(C36:C40)</f>
        <v>53612.418029999986</v>
      </c>
      <c r="D41" s="11"/>
      <c r="E41" s="11">
        <f>SUM(E36:E40)</f>
        <v>48795</v>
      </c>
    </row>
    <row r="42" spans="3:5" s="3" customFormat="1" ht="12.75">
      <c r="C42" s="11"/>
      <c r="D42" s="11"/>
      <c r="E42" s="11"/>
    </row>
    <row r="43" spans="1:5" s="3" customFormat="1" ht="12.75">
      <c r="A43" s="1" t="s">
        <v>20</v>
      </c>
      <c r="C43" s="11">
        <f>'[2]bs-summary'!$D$15</f>
        <v>3668.9258489899994</v>
      </c>
      <c r="D43" s="11"/>
      <c r="E43" s="11">
        <v>2227</v>
      </c>
    </row>
    <row r="44" spans="3:5" s="3" customFormat="1" ht="12.75">
      <c r="C44" s="11"/>
      <c r="D44" s="11"/>
      <c r="E44" s="11"/>
    </row>
    <row r="45" spans="1:5" s="3" customFormat="1" ht="12.75">
      <c r="A45" s="1" t="s">
        <v>28</v>
      </c>
      <c r="C45" s="11">
        <v>467</v>
      </c>
      <c r="D45" s="11"/>
      <c r="E45" s="11">
        <v>854</v>
      </c>
    </row>
    <row r="46" spans="1:5" s="3" customFormat="1" ht="12.75">
      <c r="A46" s="1" t="s">
        <v>21</v>
      </c>
      <c r="C46" s="11">
        <v>0</v>
      </c>
      <c r="D46" s="11"/>
      <c r="E46" s="11">
        <v>83</v>
      </c>
    </row>
    <row r="47" spans="3:5" s="3" customFormat="1" ht="12.75">
      <c r="C47" s="11"/>
      <c r="D47" s="11"/>
      <c r="E47" s="11"/>
    </row>
    <row r="48" spans="3:5" s="3" customFormat="1" ht="12.75">
      <c r="C48" s="11"/>
      <c r="D48" s="11"/>
      <c r="E48" s="11"/>
    </row>
    <row r="49" spans="3:5" s="1" customFormat="1" ht="13.5" thickBot="1">
      <c r="C49" s="24">
        <f>SUM(C41:C48)</f>
        <v>57748.34387898999</v>
      </c>
      <c r="D49" s="39"/>
      <c r="E49" s="24">
        <f>SUM(E41:E48)</f>
        <v>51959</v>
      </c>
    </row>
    <row r="50" spans="3:5" s="1" customFormat="1" ht="13.5" thickTop="1">
      <c r="C50" s="39"/>
      <c r="D50" s="39"/>
      <c r="E50" s="39"/>
    </row>
    <row r="51" spans="3:5" s="1" customFormat="1" ht="12.75">
      <c r="C51" s="39"/>
      <c r="D51" s="39"/>
      <c r="E51" s="39"/>
    </row>
    <row r="52" spans="1:5" s="1" customFormat="1" ht="12.75">
      <c r="A52" s="146" t="s">
        <v>160</v>
      </c>
      <c r="C52" s="39"/>
      <c r="D52" s="39"/>
      <c r="E52" s="39"/>
    </row>
    <row r="53" spans="1:5" s="3" customFormat="1" ht="12.75">
      <c r="A53" s="146" t="s">
        <v>161</v>
      </c>
      <c r="C53" s="11"/>
      <c r="D53" s="11"/>
      <c r="E53" s="11"/>
    </row>
    <row r="54" ht="12.75">
      <c r="A54" s="146" t="s">
        <v>162</v>
      </c>
    </row>
    <row r="55" spans="3:5" ht="12.75">
      <c r="C55" s="136"/>
      <c r="E55" s="136"/>
    </row>
    <row r="56" ht="12.75">
      <c r="C56" s="136"/>
    </row>
  </sheetData>
  <printOptions/>
  <pageMargins left="0.75" right="0.75" top="1" bottom="1" header="0.5" footer="0.5"/>
  <pageSetup horizontalDpi="300" verticalDpi="300" orientation="portrait" paperSize="9" r:id="rId1"/>
  <headerFooter alignWithMargins="0">
    <oddHeader>&amp;R2</oddHeader>
  </headerFooter>
</worksheet>
</file>

<file path=xl/worksheets/sheet5.xml><?xml version="1.0" encoding="utf-8"?>
<worksheet xmlns="http://schemas.openxmlformats.org/spreadsheetml/2006/main" xmlns:r="http://schemas.openxmlformats.org/officeDocument/2006/relationships">
  <dimension ref="A1:X36"/>
  <sheetViews>
    <sheetView workbookViewId="0" topLeftCell="A1">
      <selection activeCell="I14" sqref="I14"/>
    </sheetView>
  </sheetViews>
  <sheetFormatPr defaultColWidth="9.140625" defaultRowHeight="12.75"/>
  <cols>
    <col min="1" max="1" width="11.8515625" style="0" customWidth="1"/>
    <col min="2" max="2" width="0.85546875" style="0" customWidth="1"/>
    <col min="3" max="3" width="22.421875" style="0" customWidth="1"/>
    <col min="4" max="4" width="0.85546875" style="0" customWidth="1"/>
    <col min="5" max="5" width="9.7109375" style="0" customWidth="1"/>
    <col min="6" max="6" width="1.421875" style="0" customWidth="1"/>
    <col min="7" max="7" width="9.7109375" style="0" customWidth="1"/>
    <col min="8" max="8" width="1.421875" style="0" customWidth="1"/>
    <col min="9" max="9" width="9.8515625" style="0" customWidth="1"/>
    <col min="10" max="10" width="1.421875" style="0" customWidth="1"/>
    <col min="11" max="11" width="13.421875" style="0" bestFit="1" customWidth="1"/>
    <col min="12" max="12" width="1.421875" style="0" customWidth="1"/>
    <col min="13" max="13" width="9.7109375" style="0" customWidth="1"/>
    <col min="14" max="14" width="1.421875" style="0" customWidth="1"/>
    <col min="15" max="15" width="10.57421875" style="0" customWidth="1"/>
  </cols>
  <sheetData>
    <row r="1" spans="1:2" s="20" customFormat="1" ht="15.75">
      <c r="A1" s="2" t="s">
        <v>9</v>
      </c>
      <c r="B1" s="2"/>
    </row>
    <row r="2" spans="1:2" s="20" customFormat="1" ht="15.75">
      <c r="A2" s="2"/>
      <c r="B2" s="2"/>
    </row>
    <row r="3" spans="1:2" s="20" customFormat="1" ht="15.75">
      <c r="A3" s="138" t="s">
        <v>42</v>
      </c>
      <c r="B3" s="2"/>
    </row>
    <row r="4" spans="1:2" s="20" customFormat="1" ht="15.75">
      <c r="A4" s="138" t="s">
        <v>130</v>
      </c>
      <c r="B4" s="2"/>
    </row>
    <row r="5" spans="1:2" s="20" customFormat="1" ht="15.75">
      <c r="A5" s="2"/>
      <c r="B5" s="2"/>
    </row>
    <row r="7" spans="5:15" s="29" customFormat="1" ht="12.75">
      <c r="E7" s="30" t="s">
        <v>61</v>
      </c>
      <c r="F7" s="30"/>
      <c r="G7" s="30" t="s">
        <v>61</v>
      </c>
      <c r="H7" s="30"/>
      <c r="I7" s="30" t="s">
        <v>62</v>
      </c>
      <c r="J7" s="30"/>
      <c r="K7" s="30" t="s">
        <v>63</v>
      </c>
      <c r="L7" s="30"/>
      <c r="M7" s="30" t="s">
        <v>64</v>
      </c>
      <c r="N7" s="31"/>
      <c r="O7" s="31"/>
    </row>
    <row r="8" spans="5:15" s="29" customFormat="1" ht="12.75">
      <c r="E8" s="30" t="s">
        <v>62</v>
      </c>
      <c r="F8" s="30"/>
      <c r="G8" s="30" t="s">
        <v>65</v>
      </c>
      <c r="H8" s="30"/>
      <c r="I8" s="30" t="s">
        <v>66</v>
      </c>
      <c r="J8" s="30"/>
      <c r="K8" s="30" t="s">
        <v>67</v>
      </c>
      <c r="L8" s="30"/>
      <c r="M8" s="30" t="s">
        <v>68</v>
      </c>
      <c r="N8" s="31"/>
      <c r="O8" s="30" t="s">
        <v>43</v>
      </c>
    </row>
    <row r="9" spans="5:15" s="29" customFormat="1" ht="12.75">
      <c r="E9" s="31"/>
      <c r="F9" s="31"/>
      <c r="G9" s="31"/>
      <c r="H9" s="31"/>
      <c r="I9" s="31"/>
      <c r="J9" s="31"/>
      <c r="K9" s="31"/>
      <c r="L9" s="31"/>
      <c r="M9" s="31"/>
      <c r="N9" s="31"/>
      <c r="O9" s="31"/>
    </row>
    <row r="10" spans="5:15" s="29" customFormat="1" ht="12.75">
      <c r="E10" s="30" t="s">
        <v>53</v>
      </c>
      <c r="F10" s="30"/>
      <c r="G10" s="30" t="s">
        <v>53</v>
      </c>
      <c r="H10" s="30"/>
      <c r="I10" s="30" t="s">
        <v>53</v>
      </c>
      <c r="J10" s="30"/>
      <c r="K10" s="30" t="s">
        <v>53</v>
      </c>
      <c r="L10" s="30"/>
      <c r="M10" s="30" t="s">
        <v>53</v>
      </c>
      <c r="N10" s="30"/>
      <c r="O10" s="30" t="s">
        <v>53</v>
      </c>
    </row>
    <row r="11" s="29" customFormat="1" ht="12.75"/>
    <row r="12" spans="1:15" s="29" customFormat="1" ht="12.75">
      <c r="A12" s="29" t="s">
        <v>70</v>
      </c>
      <c r="E12" s="32">
        <v>33300</v>
      </c>
      <c r="F12" s="32"/>
      <c r="G12" s="32">
        <v>1729</v>
      </c>
      <c r="H12" s="32"/>
      <c r="I12" s="32">
        <v>30</v>
      </c>
      <c r="J12" s="32"/>
      <c r="K12" s="32">
        <v>389</v>
      </c>
      <c r="L12" s="32"/>
      <c r="M12" s="32">
        <v>3279</v>
      </c>
      <c r="N12" s="32"/>
      <c r="O12" s="32">
        <f>SUM(E12:M12)</f>
        <v>38727</v>
      </c>
    </row>
    <row r="13" spans="1:15" s="29" customFormat="1" ht="12.75">
      <c r="A13" s="29" t="s">
        <v>69</v>
      </c>
      <c r="E13" s="32">
        <v>0</v>
      </c>
      <c r="F13" s="32"/>
      <c r="G13" s="32">
        <v>0</v>
      </c>
      <c r="H13" s="32"/>
      <c r="I13" s="32">
        <v>0</v>
      </c>
      <c r="J13" s="32"/>
      <c r="K13" s="32">
        <v>-65</v>
      </c>
      <c r="L13" s="32"/>
      <c r="M13" s="32">
        <v>0</v>
      </c>
      <c r="N13" s="32"/>
      <c r="O13" s="32">
        <f>SUM(E13:M13)</f>
        <v>-65</v>
      </c>
    </row>
    <row r="14" spans="1:15" s="29" customFormat="1" ht="12.75">
      <c r="A14" s="29" t="s">
        <v>72</v>
      </c>
      <c r="E14" s="32"/>
      <c r="F14" s="32"/>
      <c r="G14" s="32">
        <v>-22</v>
      </c>
      <c r="H14" s="32"/>
      <c r="I14" s="32">
        <v>0</v>
      </c>
      <c r="J14" s="32"/>
      <c r="K14" s="32">
        <v>0</v>
      </c>
      <c r="L14" s="32"/>
      <c r="M14" s="32">
        <v>0</v>
      </c>
      <c r="N14" s="32"/>
      <c r="O14" s="32">
        <f>SUM(E14:M14)</f>
        <v>-22</v>
      </c>
    </row>
    <row r="15" spans="1:15" s="29" customFormat="1" ht="12.75">
      <c r="A15" s="29" t="s">
        <v>71</v>
      </c>
      <c r="E15" s="33">
        <v>0</v>
      </c>
      <c r="F15" s="32"/>
      <c r="G15" s="33">
        <v>0</v>
      </c>
      <c r="H15" s="32"/>
      <c r="I15" s="33">
        <v>0</v>
      </c>
      <c r="J15" s="32"/>
      <c r="K15" s="33">
        <v>0</v>
      </c>
      <c r="L15" s="32"/>
      <c r="M15" s="33">
        <v>-400</v>
      </c>
      <c r="N15" s="32"/>
      <c r="O15" s="33">
        <f>SUM(E15:M15)</f>
        <v>-400</v>
      </c>
    </row>
    <row r="16" spans="5:15" s="29" customFormat="1" ht="12.75">
      <c r="E16" s="34"/>
      <c r="F16" s="32"/>
      <c r="G16" s="34"/>
      <c r="H16" s="32"/>
      <c r="I16" s="34"/>
      <c r="J16" s="32"/>
      <c r="K16" s="34"/>
      <c r="L16" s="32"/>
      <c r="M16" s="34"/>
      <c r="N16" s="32"/>
      <c r="O16" s="34"/>
    </row>
    <row r="17" spans="1:24" s="29" customFormat="1" ht="13.5" thickBot="1">
      <c r="A17" s="29" t="s">
        <v>44</v>
      </c>
      <c r="E17" s="35">
        <f>SUM(E12:E15)</f>
        <v>33300</v>
      </c>
      <c r="F17" s="36"/>
      <c r="G17" s="35">
        <f>SUM(G12:G15)</f>
        <v>1707</v>
      </c>
      <c r="H17" s="36"/>
      <c r="I17" s="35">
        <f>SUM(I12:I15)</f>
        <v>30</v>
      </c>
      <c r="J17" s="36"/>
      <c r="K17" s="35">
        <f>SUM(K12:K15)</f>
        <v>324</v>
      </c>
      <c r="L17" s="36"/>
      <c r="M17" s="35">
        <f>SUM(M12:M15)</f>
        <v>2879</v>
      </c>
      <c r="N17" s="36"/>
      <c r="O17" s="35">
        <f>SUM(E17:M17)</f>
        <v>38240</v>
      </c>
      <c r="P17" s="37"/>
      <c r="Q17" s="37"/>
      <c r="R17" s="37"/>
      <c r="S17" s="37"/>
      <c r="T17" s="37"/>
      <c r="U17" s="37"/>
      <c r="V17" s="37"/>
      <c r="W17" s="37"/>
      <c r="X17" s="37"/>
    </row>
    <row r="18" spans="5:24" s="29" customFormat="1" ht="12.75">
      <c r="E18" s="38"/>
      <c r="F18" s="36"/>
      <c r="G18" s="38"/>
      <c r="H18" s="36"/>
      <c r="I18" s="38"/>
      <c r="J18" s="36"/>
      <c r="K18" s="38"/>
      <c r="L18" s="36"/>
      <c r="M18" s="38"/>
      <c r="N18" s="36"/>
      <c r="O18" s="38"/>
      <c r="P18" s="37"/>
      <c r="Q18" s="37"/>
      <c r="R18" s="37"/>
      <c r="S18" s="37"/>
      <c r="T18" s="37"/>
      <c r="U18" s="37"/>
      <c r="V18" s="37"/>
      <c r="W18" s="37"/>
      <c r="X18" s="37"/>
    </row>
    <row r="19" spans="5:15" s="29" customFormat="1" ht="12.75">
      <c r="E19" s="34"/>
      <c r="F19" s="32"/>
      <c r="G19" s="34"/>
      <c r="H19" s="32"/>
      <c r="I19" s="34"/>
      <c r="J19" s="32"/>
      <c r="K19" s="34"/>
      <c r="L19" s="32"/>
      <c r="M19" s="34"/>
      <c r="N19" s="32"/>
      <c r="O19" s="34"/>
    </row>
    <row r="20" spans="1:15" s="29" customFormat="1" ht="12.75">
      <c r="A20" s="29" t="s">
        <v>114</v>
      </c>
      <c r="E20" s="34">
        <v>39362</v>
      </c>
      <c r="F20" s="34"/>
      <c r="G20" s="34">
        <v>5959</v>
      </c>
      <c r="H20" s="34"/>
      <c r="I20" s="34">
        <v>30</v>
      </c>
      <c r="J20" s="34"/>
      <c r="K20" s="34">
        <v>130</v>
      </c>
      <c r="L20" s="34"/>
      <c r="M20" s="34">
        <v>3314</v>
      </c>
      <c r="N20" s="34"/>
      <c r="O20" s="32">
        <f>SUM(E20:M20)</f>
        <v>48795</v>
      </c>
    </row>
    <row r="21" spans="1:15" s="29" customFormat="1" ht="12.75">
      <c r="A21" s="29" t="s">
        <v>69</v>
      </c>
      <c r="E21" s="32">
        <v>0</v>
      </c>
      <c r="F21" s="32"/>
      <c r="G21" s="32">
        <v>0</v>
      </c>
      <c r="H21" s="32"/>
      <c r="I21" s="32">
        <v>0</v>
      </c>
      <c r="J21" s="32"/>
      <c r="K21" s="32">
        <v>-130</v>
      </c>
      <c r="L21" s="32"/>
      <c r="M21" s="32">
        <v>0</v>
      </c>
      <c r="N21" s="32"/>
      <c r="O21" s="32">
        <f>SUM(E21:M21)</f>
        <v>-130</v>
      </c>
    </row>
    <row r="22" spans="1:15" s="29" customFormat="1" ht="12.75">
      <c r="A22" s="29" t="s">
        <v>117</v>
      </c>
      <c r="E22" s="32">
        <v>2978</v>
      </c>
      <c r="F22" s="32"/>
      <c r="G22" s="32">
        <v>1713</v>
      </c>
      <c r="H22" s="32"/>
      <c r="I22" s="32">
        <v>0</v>
      </c>
      <c r="J22" s="32"/>
      <c r="K22" s="32">
        <v>0</v>
      </c>
      <c r="L22" s="32"/>
      <c r="M22" s="32">
        <v>0</v>
      </c>
      <c r="N22" s="32"/>
      <c r="O22" s="32">
        <f>SUM(E22:M22)</f>
        <v>4691</v>
      </c>
    </row>
    <row r="23" spans="1:15" s="29" customFormat="1" ht="12.75">
      <c r="A23" s="29" t="s">
        <v>71</v>
      </c>
      <c r="E23" s="33">
        <v>0</v>
      </c>
      <c r="F23" s="32"/>
      <c r="G23" s="33">
        <v>0</v>
      </c>
      <c r="H23" s="32"/>
      <c r="I23" s="33">
        <v>0</v>
      </c>
      <c r="J23" s="32"/>
      <c r="K23" s="33">
        <v>0</v>
      </c>
      <c r="L23" s="32"/>
      <c r="M23" s="33">
        <f>'P&amp;L'!F39</f>
        <v>256.1402499999997</v>
      </c>
      <c r="N23" s="32"/>
      <c r="O23" s="33">
        <f>SUM(E23:M23)</f>
        <v>256.1402499999997</v>
      </c>
    </row>
    <row r="24" spans="5:15" s="29" customFormat="1" ht="12.75">
      <c r="E24" s="34"/>
      <c r="F24" s="32"/>
      <c r="G24" s="34"/>
      <c r="H24" s="32"/>
      <c r="I24" s="34"/>
      <c r="J24" s="32"/>
      <c r="K24" s="34"/>
      <c r="L24" s="32"/>
      <c r="M24" s="34"/>
      <c r="N24" s="32"/>
      <c r="O24" s="34"/>
    </row>
    <row r="25" spans="1:17" s="29" customFormat="1" ht="13.5" thickBot="1">
      <c r="A25" s="29" t="s">
        <v>44</v>
      </c>
      <c r="E25" s="35">
        <f>SUM(E20:E23)</f>
        <v>42340</v>
      </c>
      <c r="F25" s="36"/>
      <c r="G25" s="35">
        <f>SUM(G20:G23)</f>
        <v>7672</v>
      </c>
      <c r="H25" s="36"/>
      <c r="I25" s="35">
        <f>SUM(I20:I23)</f>
        <v>30</v>
      </c>
      <c r="J25" s="36"/>
      <c r="K25" s="141">
        <v>0</v>
      </c>
      <c r="L25" s="36"/>
      <c r="M25" s="35">
        <f>SUM(M20:M23)-0.4</f>
        <v>3569.7402499999994</v>
      </c>
      <c r="N25" s="36"/>
      <c r="O25" s="35">
        <f>SUM(O20:O23)</f>
        <v>53612.14025</v>
      </c>
      <c r="P25" s="37"/>
      <c r="Q25" s="37"/>
    </row>
    <row r="26" spans="5:15" s="29" customFormat="1" ht="12.75">
      <c r="E26" s="32"/>
      <c r="F26" s="32"/>
      <c r="G26" s="32"/>
      <c r="H26" s="32"/>
      <c r="I26" s="32"/>
      <c r="J26" s="32"/>
      <c r="K26" s="32"/>
      <c r="L26" s="32"/>
      <c r="M26" s="32"/>
      <c r="N26" s="32"/>
      <c r="O26" s="32"/>
    </row>
    <row r="27" spans="1:15" ht="12.75">
      <c r="A27" s="22"/>
      <c r="B27" s="22"/>
      <c r="E27" s="137"/>
      <c r="G27" s="137"/>
      <c r="I27" s="137"/>
      <c r="K27" s="137"/>
      <c r="M27" s="137"/>
      <c r="O27" s="137"/>
    </row>
    <row r="28" spans="1:15" s="12" customFormat="1" ht="12.75">
      <c r="A28" s="149" t="s">
        <v>158</v>
      </c>
      <c r="B28" s="149"/>
      <c r="C28" s="149"/>
      <c r="D28" s="149"/>
      <c r="E28" s="149"/>
      <c r="F28" s="149"/>
      <c r="G28" s="149"/>
      <c r="H28" s="149"/>
      <c r="I28" s="149"/>
      <c r="J28" s="149"/>
      <c r="K28" s="149"/>
      <c r="L28" s="149"/>
      <c r="M28" s="149"/>
      <c r="N28" s="149"/>
      <c r="O28" s="149"/>
    </row>
    <row r="29" spans="1:15" s="12" customFormat="1" ht="24" customHeight="1">
      <c r="A29" s="149"/>
      <c r="B29" s="149"/>
      <c r="C29" s="149"/>
      <c r="D29" s="149"/>
      <c r="E29" s="149"/>
      <c r="F29" s="149"/>
      <c r="G29" s="149"/>
      <c r="H29" s="149"/>
      <c r="I29" s="149"/>
      <c r="J29" s="149"/>
      <c r="K29" s="149"/>
      <c r="L29" s="149"/>
      <c r="M29" s="149"/>
      <c r="N29" s="149"/>
      <c r="O29" s="149"/>
    </row>
    <row r="30" spans="1:2" ht="12.75">
      <c r="A30" s="22"/>
      <c r="B30" s="22"/>
    </row>
    <row r="31" spans="1:2" ht="12.75">
      <c r="A31" s="22"/>
      <c r="B31" s="22"/>
    </row>
    <row r="32" spans="1:2" ht="12.75">
      <c r="A32" s="22"/>
      <c r="B32" s="22"/>
    </row>
    <row r="33" spans="1:2" ht="12.75">
      <c r="A33" s="22"/>
      <c r="B33" s="22"/>
    </row>
    <row r="34" spans="1:2" ht="12.75">
      <c r="A34" s="22"/>
      <c r="B34" s="22"/>
    </row>
    <row r="35" spans="1:2" ht="12.75">
      <c r="A35" s="22"/>
      <c r="B35" s="22"/>
    </row>
    <row r="36" spans="1:2" ht="12.75">
      <c r="A36" s="22"/>
      <c r="B36" s="22"/>
    </row>
  </sheetData>
  <mergeCells count="1">
    <mergeCell ref="A28:O29"/>
  </mergeCells>
  <printOptions/>
  <pageMargins left="0.87" right="0.54" top="1" bottom="0.66" header="0.5" footer="0.5"/>
  <pageSetup horizontalDpi="300" verticalDpi="300" orientation="landscape" paperSize="9" scale="110" r:id="rId1"/>
  <headerFooter alignWithMargins="0">
    <oddHeader>&amp;R5</oddHeader>
  </headerFooter>
</worksheet>
</file>

<file path=xl/worksheets/sheet6.xml><?xml version="1.0" encoding="utf-8"?>
<worksheet xmlns="http://schemas.openxmlformats.org/spreadsheetml/2006/main" xmlns:r="http://schemas.openxmlformats.org/officeDocument/2006/relationships">
  <dimension ref="A1:AH93"/>
  <sheetViews>
    <sheetView tabSelected="1" zoomScale="75" zoomScaleNormal="75" workbookViewId="0" topLeftCell="A1">
      <selection activeCell="AB69" sqref="AB69"/>
    </sheetView>
  </sheetViews>
  <sheetFormatPr defaultColWidth="9.140625" defaultRowHeight="12.75"/>
  <cols>
    <col min="1" max="1" width="2.421875" style="88" customWidth="1"/>
    <col min="2" max="2" width="2.7109375" style="88" customWidth="1"/>
    <col min="3" max="7" width="6.7109375" style="88" customWidth="1"/>
    <col min="8" max="8" width="31.140625" style="88" customWidth="1"/>
    <col min="9" max="9" width="13.140625" style="88" bestFit="1" customWidth="1"/>
    <col min="10" max="10" width="3.140625" style="88" customWidth="1"/>
    <col min="11" max="11" width="13.140625" style="88" bestFit="1" customWidth="1"/>
    <col min="12" max="12" width="3.00390625" style="88" customWidth="1"/>
    <col min="13" max="13" width="9.28125" style="89" hidden="1" customWidth="1"/>
    <col min="14" max="14" width="3.140625" style="88" customWidth="1"/>
    <col min="15" max="15" width="9.8515625" style="88" hidden="1" customWidth="1"/>
    <col min="16" max="16" width="6.7109375" style="88" hidden="1" customWidth="1"/>
    <col min="17" max="17" width="9.57421875" style="88" hidden="1" customWidth="1"/>
    <col min="18" max="18" width="6.7109375" style="88" customWidth="1"/>
    <col min="19" max="19" width="9.8515625" style="88" hidden="1" customWidth="1"/>
    <col min="20" max="20" width="0" style="88" hidden="1" customWidth="1"/>
    <col min="21" max="21" width="7.140625" style="88" hidden="1" customWidth="1"/>
    <col min="22" max="22" width="0" style="88" hidden="1" customWidth="1"/>
    <col min="23" max="23" width="7.00390625" style="88" hidden="1" customWidth="1"/>
    <col min="24" max="25" width="0" style="88" hidden="1" customWidth="1"/>
    <col min="26" max="16384" width="6.7109375" style="88" customWidth="1"/>
  </cols>
  <sheetData>
    <row r="1" ht="15.75">
      <c r="A1" s="87" t="s">
        <v>9</v>
      </c>
    </row>
    <row r="2" spans="1:34" s="97" customFormat="1" ht="16.5" customHeight="1">
      <c r="A2" s="90" t="s">
        <v>132</v>
      </c>
      <c r="B2" s="91"/>
      <c r="C2" s="91"/>
      <c r="D2" s="91"/>
      <c r="E2" s="92"/>
      <c r="F2" s="93"/>
      <c r="G2" s="91"/>
      <c r="H2" s="93"/>
      <c r="I2" s="93"/>
      <c r="J2" s="93"/>
      <c r="K2" s="93"/>
      <c r="L2" s="93"/>
      <c r="M2" s="94"/>
      <c r="N2" s="93"/>
      <c r="O2" s="95"/>
      <c r="P2" s="93"/>
      <c r="Q2" s="93"/>
      <c r="R2" s="93"/>
      <c r="S2" s="95"/>
      <c r="T2" s="93"/>
      <c r="U2" s="93"/>
      <c r="V2" s="96"/>
      <c r="X2" s="98"/>
      <c r="Y2" s="98"/>
      <c r="Z2" s="98"/>
      <c r="AA2" s="98"/>
      <c r="AB2" s="98"/>
      <c r="AC2" s="98"/>
      <c r="AD2" s="98"/>
      <c r="AE2" s="98"/>
      <c r="AF2" s="98"/>
      <c r="AG2" s="98"/>
      <c r="AH2" s="98"/>
    </row>
    <row r="3" spans="1:34" s="97" customFormat="1" ht="16.5" customHeight="1">
      <c r="A3" s="90" t="s">
        <v>159</v>
      </c>
      <c r="B3" s="91"/>
      <c r="C3" s="91"/>
      <c r="D3" s="91"/>
      <c r="E3" s="92"/>
      <c r="F3" s="93"/>
      <c r="G3" s="91"/>
      <c r="H3" s="93"/>
      <c r="I3" s="93"/>
      <c r="J3" s="93"/>
      <c r="K3" s="93"/>
      <c r="L3" s="93"/>
      <c r="M3" s="94"/>
      <c r="N3" s="93"/>
      <c r="O3" s="95"/>
      <c r="P3" s="93"/>
      <c r="Q3" s="93"/>
      <c r="R3" s="93"/>
      <c r="S3" s="95"/>
      <c r="T3" s="93"/>
      <c r="U3" s="93"/>
      <c r="V3" s="96"/>
      <c r="X3" s="98"/>
      <c r="Y3" s="98"/>
      <c r="Z3" s="98"/>
      <c r="AA3" s="98"/>
      <c r="AB3" s="98"/>
      <c r="AC3" s="98"/>
      <c r="AD3" s="98"/>
      <c r="AE3" s="98"/>
      <c r="AF3" s="98"/>
      <c r="AG3" s="98"/>
      <c r="AH3" s="98"/>
    </row>
    <row r="4" spans="1:34" s="97" customFormat="1" ht="16.5" customHeight="1">
      <c r="A4" s="99"/>
      <c r="B4" s="91"/>
      <c r="C4" s="91"/>
      <c r="D4" s="91"/>
      <c r="E4" s="92"/>
      <c r="F4" s="93"/>
      <c r="G4" s="91"/>
      <c r="H4" s="93"/>
      <c r="I4" s="93"/>
      <c r="J4" s="93"/>
      <c r="K4" s="93"/>
      <c r="L4" s="93"/>
      <c r="M4" s="94"/>
      <c r="N4" s="93"/>
      <c r="O4" s="95"/>
      <c r="P4" s="93"/>
      <c r="Q4" s="93"/>
      <c r="R4" s="93"/>
      <c r="S4" s="95"/>
      <c r="T4" s="93"/>
      <c r="U4" s="93"/>
      <c r="V4" s="96"/>
      <c r="X4" s="98"/>
      <c r="Y4" s="98"/>
      <c r="Z4" s="98"/>
      <c r="AA4" s="98"/>
      <c r="AB4" s="98"/>
      <c r="AC4" s="98"/>
      <c r="AD4" s="98"/>
      <c r="AE4" s="98"/>
      <c r="AF4" s="98"/>
      <c r="AG4" s="98"/>
      <c r="AH4" s="98"/>
    </row>
    <row r="5" spans="1:34" s="97" customFormat="1" ht="16.5" customHeight="1">
      <c r="A5" s="99"/>
      <c r="B5" s="91"/>
      <c r="C5" s="91"/>
      <c r="D5" s="91"/>
      <c r="E5" s="91"/>
      <c r="F5" s="93"/>
      <c r="G5" s="91"/>
      <c r="H5" s="93"/>
      <c r="I5" s="93"/>
      <c r="J5" s="93"/>
      <c r="K5" s="93"/>
      <c r="L5" s="93"/>
      <c r="M5" s="94"/>
      <c r="N5" s="93"/>
      <c r="O5" s="95"/>
      <c r="P5" s="93"/>
      <c r="Q5" s="93"/>
      <c r="R5" s="93"/>
      <c r="S5" s="95"/>
      <c r="T5" s="93"/>
      <c r="V5" s="96"/>
      <c r="X5" s="98"/>
      <c r="Y5" s="98"/>
      <c r="Z5" s="98"/>
      <c r="AA5" s="98"/>
      <c r="AB5" s="98"/>
      <c r="AC5" s="98"/>
      <c r="AD5" s="98"/>
      <c r="AE5" s="98"/>
      <c r="AF5" s="98"/>
      <c r="AG5" s="98"/>
      <c r="AH5" s="98"/>
    </row>
    <row r="6" spans="6:34" s="97" customFormat="1" ht="16.5" customHeight="1">
      <c r="F6" s="98"/>
      <c r="H6" s="98"/>
      <c r="I6" s="144" t="s">
        <v>129</v>
      </c>
      <c r="J6" s="144"/>
      <c r="K6" s="144">
        <v>37802</v>
      </c>
      <c r="L6" s="98"/>
      <c r="M6" s="101" t="s">
        <v>135</v>
      </c>
      <c r="N6" s="100"/>
      <c r="O6" s="102" t="s">
        <v>76</v>
      </c>
      <c r="P6" s="98"/>
      <c r="Q6" s="102" t="s">
        <v>135</v>
      </c>
      <c r="R6" s="98"/>
      <c r="S6" s="102" t="s">
        <v>76</v>
      </c>
      <c r="T6" s="103"/>
      <c r="U6" s="102" t="s">
        <v>105</v>
      </c>
      <c r="V6" s="96"/>
      <c r="X6" s="98"/>
      <c r="Y6" s="98"/>
      <c r="Z6" s="98"/>
      <c r="AA6" s="98"/>
      <c r="AB6" s="98"/>
      <c r="AC6" s="98"/>
      <c r="AD6" s="98"/>
      <c r="AE6" s="98"/>
      <c r="AF6" s="98"/>
      <c r="AG6" s="98"/>
      <c r="AH6" s="98"/>
    </row>
    <row r="7" spans="6:34" s="97" customFormat="1" ht="16.5" customHeight="1">
      <c r="F7" s="98"/>
      <c r="H7" s="98"/>
      <c r="I7" s="143" t="s">
        <v>53</v>
      </c>
      <c r="J7" s="142"/>
      <c r="K7" s="143" t="s">
        <v>53</v>
      </c>
      <c r="L7" s="98"/>
      <c r="M7" s="104" t="s">
        <v>53</v>
      </c>
      <c r="N7" s="102"/>
      <c r="O7" s="102" t="s">
        <v>53</v>
      </c>
      <c r="P7" s="98"/>
      <c r="Q7" s="102" t="s">
        <v>53</v>
      </c>
      <c r="R7" s="98"/>
      <c r="S7" s="102" t="s">
        <v>32</v>
      </c>
      <c r="T7" s="105"/>
      <c r="U7" s="102" t="s">
        <v>32</v>
      </c>
      <c r="V7" s="96"/>
      <c r="X7" s="98"/>
      <c r="Y7" s="98"/>
      <c r="Z7" s="98"/>
      <c r="AA7" s="98"/>
      <c r="AB7" s="98"/>
      <c r="AC7" s="98"/>
      <c r="AD7" s="98"/>
      <c r="AE7" s="98"/>
      <c r="AF7" s="98"/>
      <c r="AG7" s="98"/>
      <c r="AH7" s="98"/>
    </row>
    <row r="8" spans="6:34" s="97" customFormat="1" ht="15">
      <c r="F8" s="98"/>
      <c r="H8" s="98"/>
      <c r="I8" s="98"/>
      <c r="J8" s="98"/>
      <c r="K8" s="98"/>
      <c r="L8" s="98"/>
      <c r="M8" s="106"/>
      <c r="N8" s="98"/>
      <c r="O8" s="102"/>
      <c r="P8" s="98"/>
      <c r="Q8" s="98"/>
      <c r="R8" s="98"/>
      <c r="S8" s="102"/>
      <c r="T8" s="105"/>
      <c r="U8" s="105"/>
      <c r="V8" s="96"/>
      <c r="X8" s="98"/>
      <c r="Y8" s="98"/>
      <c r="Z8" s="98"/>
      <c r="AA8" s="98"/>
      <c r="AB8" s="98"/>
      <c r="AC8" s="98"/>
      <c r="AD8" s="98"/>
      <c r="AE8" s="98"/>
      <c r="AF8" s="98"/>
      <c r="AG8" s="98"/>
      <c r="AH8" s="98"/>
    </row>
    <row r="9" spans="1:34" s="97" customFormat="1" ht="16.5" customHeight="1">
      <c r="A9" s="107" t="s">
        <v>77</v>
      </c>
      <c r="B9" s="87"/>
      <c r="F9" s="98"/>
      <c r="H9" s="98"/>
      <c r="I9" s="98"/>
      <c r="J9" s="98"/>
      <c r="K9" s="98"/>
      <c r="L9" s="98"/>
      <c r="M9" s="106"/>
      <c r="N9" s="98"/>
      <c r="O9" s="102"/>
      <c r="P9" s="98"/>
      <c r="Q9" s="98"/>
      <c r="R9" s="98"/>
      <c r="S9" s="102"/>
      <c r="T9" s="105"/>
      <c r="U9" s="105"/>
      <c r="V9" s="96"/>
      <c r="X9" s="98"/>
      <c r="Y9" s="98"/>
      <c r="Z9" s="98"/>
      <c r="AA9" s="98"/>
      <c r="AB9" s="98"/>
      <c r="AC9" s="98"/>
      <c r="AD9" s="98"/>
      <c r="AE9" s="98"/>
      <c r="AF9" s="98"/>
      <c r="AG9" s="98"/>
      <c r="AH9" s="98"/>
    </row>
    <row r="10" spans="2:34" s="97" customFormat="1" ht="16.5" customHeight="1">
      <c r="B10" s="108" t="s">
        <v>136</v>
      </c>
      <c r="F10" s="98"/>
      <c r="H10" s="98"/>
      <c r="I10" s="98">
        <v>1687</v>
      </c>
      <c r="J10" s="98"/>
      <c r="K10" s="98">
        <v>408</v>
      </c>
      <c r="L10" s="98"/>
      <c r="M10" s="106">
        <v>-1465</v>
      </c>
      <c r="N10" s="98"/>
      <c r="O10" s="109">
        <v>-65</v>
      </c>
      <c r="P10" s="98"/>
      <c r="Q10" s="98">
        <v>-348</v>
      </c>
      <c r="R10" s="98"/>
      <c r="S10" s="109">
        <v>-64573</v>
      </c>
      <c r="T10" s="110"/>
      <c r="U10" s="110">
        <v>3889</v>
      </c>
      <c r="V10" s="96"/>
      <c r="W10" s="97">
        <f>+U10/4</f>
        <v>972.25</v>
      </c>
      <c r="X10" s="98"/>
      <c r="Y10" s="98"/>
      <c r="Z10" s="98"/>
      <c r="AA10" s="98"/>
      <c r="AB10" s="98"/>
      <c r="AC10" s="98"/>
      <c r="AD10" s="98"/>
      <c r="AE10" s="98"/>
      <c r="AF10" s="98"/>
      <c r="AG10" s="98"/>
      <c r="AH10" s="98"/>
    </row>
    <row r="11" spans="2:34" s="97" customFormat="1" ht="16.5" customHeight="1">
      <c r="B11" s="108" t="s">
        <v>78</v>
      </c>
      <c r="F11" s="98"/>
      <c r="H11" s="98"/>
      <c r="I11" s="98"/>
      <c r="J11" s="98"/>
      <c r="K11" s="98"/>
      <c r="L11" s="98"/>
      <c r="M11" s="106"/>
      <c r="N11" s="98"/>
      <c r="O11" s="109"/>
      <c r="P11" s="98"/>
      <c r="Q11" s="98"/>
      <c r="R11" s="98"/>
      <c r="S11" s="109"/>
      <c r="T11" s="110"/>
      <c r="U11" s="110"/>
      <c r="V11" s="96"/>
      <c r="X11" s="98"/>
      <c r="Y11" s="98"/>
      <c r="Z11" s="98"/>
      <c r="AA11" s="98"/>
      <c r="AB11" s="98"/>
      <c r="AC11" s="98"/>
      <c r="AD11" s="98"/>
      <c r="AE11" s="98"/>
      <c r="AF11" s="98"/>
      <c r="AG11" s="98"/>
      <c r="AH11" s="98"/>
    </row>
    <row r="12" spans="3:34" s="97" customFormat="1" ht="16.5" customHeight="1">
      <c r="C12" s="97" t="s">
        <v>79</v>
      </c>
      <c r="F12" s="98"/>
      <c r="H12" s="98"/>
      <c r="I12" s="98">
        <f>'[2]CF workings Q2 04'!X27</f>
        <v>769.38122</v>
      </c>
      <c r="J12" s="98"/>
      <c r="K12" s="98">
        <v>1731</v>
      </c>
      <c r="L12" s="98"/>
      <c r="M12" s="106">
        <v>2236</v>
      </c>
      <c r="N12" s="98"/>
      <c r="O12" s="109">
        <v>4329</v>
      </c>
      <c r="P12" s="98"/>
      <c r="Q12" s="98">
        <f>+O12/4</f>
        <v>1082.25</v>
      </c>
      <c r="R12" s="98"/>
      <c r="S12" s="109">
        <v>4328789</v>
      </c>
      <c r="T12" s="110"/>
      <c r="U12" s="110">
        <v>6202</v>
      </c>
      <c r="V12" s="96"/>
      <c r="W12" s="97">
        <f aca="true" t="shared" si="0" ref="W12:W23">+U12/4</f>
        <v>1550.5</v>
      </c>
      <c r="X12" s="98"/>
      <c r="Y12" s="98"/>
      <c r="Z12" s="98"/>
      <c r="AA12" s="98"/>
      <c r="AB12" s="98"/>
      <c r="AC12" s="98"/>
      <c r="AD12" s="98"/>
      <c r="AE12" s="98"/>
      <c r="AF12" s="98"/>
      <c r="AG12" s="98"/>
      <c r="AH12" s="98"/>
    </row>
    <row r="13" spans="3:34" s="97" customFormat="1" ht="16.5" customHeight="1">
      <c r="C13" s="97" t="s">
        <v>80</v>
      </c>
      <c r="F13" s="98"/>
      <c r="H13" s="98"/>
      <c r="I13" s="98">
        <f>'[2]CF workings Q2 04'!X28</f>
        <v>-380</v>
      </c>
      <c r="J13" s="98"/>
      <c r="K13" s="98">
        <v>-303</v>
      </c>
      <c r="L13" s="98"/>
      <c r="M13" s="106">
        <v>-256</v>
      </c>
      <c r="N13" s="98"/>
      <c r="O13" s="109">
        <v>-108</v>
      </c>
      <c r="P13" s="98"/>
      <c r="Q13" s="98">
        <v>0</v>
      </c>
      <c r="R13" s="98"/>
      <c r="S13" s="109">
        <v>-108426</v>
      </c>
      <c r="T13" s="110"/>
      <c r="U13" s="110"/>
      <c r="V13" s="96"/>
      <c r="W13" s="97">
        <f t="shared" si="0"/>
        <v>0</v>
      </c>
      <c r="X13" s="98"/>
      <c r="Y13" s="98"/>
      <c r="Z13" s="98"/>
      <c r="AA13" s="98"/>
      <c r="AB13" s="98"/>
      <c r="AC13" s="98"/>
      <c r="AD13" s="98"/>
      <c r="AE13" s="98"/>
      <c r="AF13" s="98"/>
      <c r="AG13" s="98"/>
      <c r="AH13" s="98"/>
    </row>
    <row r="14" spans="3:34" s="97" customFormat="1" ht="16.5" customHeight="1" hidden="1">
      <c r="C14" s="97" t="s">
        <v>137</v>
      </c>
      <c r="F14" s="98"/>
      <c r="H14" s="98"/>
      <c r="I14" s="98"/>
      <c r="J14" s="98"/>
      <c r="K14" s="98"/>
      <c r="L14" s="98"/>
      <c r="M14" s="106">
        <v>0</v>
      </c>
      <c r="N14" s="98"/>
      <c r="O14" s="109">
        <v>337</v>
      </c>
      <c r="P14" s="98"/>
      <c r="Q14" s="98">
        <v>0</v>
      </c>
      <c r="R14" s="98"/>
      <c r="S14" s="109">
        <v>337132</v>
      </c>
      <c r="T14" s="110"/>
      <c r="U14" s="110">
        <v>13</v>
      </c>
      <c r="V14" s="96"/>
      <c r="W14" s="97">
        <f t="shared" si="0"/>
        <v>3.25</v>
      </c>
      <c r="X14" s="98"/>
      <c r="Y14" s="98"/>
      <c r="Z14" s="98"/>
      <c r="AA14" s="98"/>
      <c r="AB14" s="98"/>
      <c r="AC14" s="98"/>
      <c r="AD14" s="98"/>
      <c r="AE14" s="98"/>
      <c r="AF14" s="98"/>
      <c r="AG14" s="98"/>
      <c r="AH14" s="98"/>
    </row>
    <row r="15" spans="3:34" s="111" customFormat="1" ht="16.5" customHeight="1" hidden="1">
      <c r="C15" s="111" t="s">
        <v>138</v>
      </c>
      <c r="F15" s="106"/>
      <c r="H15" s="106"/>
      <c r="I15" s="106"/>
      <c r="J15" s="106"/>
      <c r="K15" s="106"/>
      <c r="L15" s="106"/>
      <c r="M15" s="106">
        <v>0</v>
      </c>
      <c r="N15" s="106"/>
      <c r="O15" s="112">
        <v>290</v>
      </c>
      <c r="P15" s="106"/>
      <c r="Q15" s="106">
        <v>0</v>
      </c>
      <c r="R15" s="106"/>
      <c r="S15" s="112">
        <v>290015</v>
      </c>
      <c r="T15" s="113"/>
      <c r="U15" s="113">
        <v>-8878</v>
      </c>
      <c r="V15" s="114"/>
      <c r="W15" s="97">
        <f t="shared" si="0"/>
        <v>-2219.5</v>
      </c>
      <c r="X15" s="106"/>
      <c r="Y15" s="106"/>
      <c r="Z15" s="106"/>
      <c r="AA15" s="106"/>
      <c r="AB15" s="106"/>
      <c r="AC15" s="106"/>
      <c r="AD15" s="106"/>
      <c r="AE15" s="106"/>
      <c r="AF15" s="106"/>
      <c r="AG15" s="106"/>
      <c r="AH15" s="106"/>
    </row>
    <row r="16" spans="3:34" s="97" customFormat="1" ht="16.5" customHeight="1" hidden="1">
      <c r="C16" s="97" t="s">
        <v>139</v>
      </c>
      <c r="F16" s="98"/>
      <c r="H16" s="98"/>
      <c r="I16" s="98"/>
      <c r="J16" s="98"/>
      <c r="K16" s="98"/>
      <c r="L16" s="98"/>
      <c r="M16" s="106">
        <v>0</v>
      </c>
      <c r="N16" s="98"/>
      <c r="O16" s="109">
        <v>58</v>
      </c>
      <c r="P16" s="98"/>
      <c r="Q16" s="98">
        <v>0</v>
      </c>
      <c r="R16" s="98"/>
      <c r="S16" s="109">
        <v>57914</v>
      </c>
      <c r="T16" s="110"/>
      <c r="U16" s="110">
        <v>524</v>
      </c>
      <c r="V16" s="96"/>
      <c r="W16" s="97">
        <f t="shared" si="0"/>
        <v>131</v>
      </c>
      <c r="X16" s="98"/>
      <c r="Y16" s="98"/>
      <c r="Z16" s="98"/>
      <c r="AA16" s="98"/>
      <c r="AB16" s="98"/>
      <c r="AC16" s="98"/>
      <c r="AD16" s="98"/>
      <c r="AE16" s="98"/>
      <c r="AF16" s="98"/>
      <c r="AG16" s="98"/>
      <c r="AH16" s="98"/>
    </row>
    <row r="17" spans="3:34" s="97" customFormat="1" ht="16.5" customHeight="1">
      <c r="C17" s="97" t="s">
        <v>81</v>
      </c>
      <c r="F17" s="98"/>
      <c r="H17" s="98"/>
      <c r="I17" s="98">
        <f>-105</f>
        <v>-105</v>
      </c>
      <c r="J17" s="98"/>
      <c r="K17" s="106">
        <v>-52</v>
      </c>
      <c r="L17" s="98"/>
      <c r="M17" s="106">
        <v>-21</v>
      </c>
      <c r="N17" s="98"/>
      <c r="O17" s="109">
        <v>-345</v>
      </c>
      <c r="P17" s="98"/>
      <c r="Q17" s="98">
        <f>+O17/4</f>
        <v>-86.25</v>
      </c>
      <c r="R17" s="98"/>
      <c r="S17" s="109">
        <v>-344630</v>
      </c>
      <c r="T17" s="110"/>
      <c r="U17" s="110">
        <v>-97</v>
      </c>
      <c r="V17" s="96"/>
      <c r="W17" s="97">
        <f t="shared" si="0"/>
        <v>-24.25</v>
      </c>
      <c r="X17" s="98"/>
      <c r="Y17" s="98"/>
      <c r="Z17" s="98"/>
      <c r="AA17" s="98"/>
      <c r="AB17" s="98"/>
      <c r="AC17" s="98"/>
      <c r="AD17" s="98"/>
      <c r="AE17" s="98"/>
      <c r="AF17" s="98"/>
      <c r="AG17" s="98"/>
      <c r="AH17" s="98"/>
    </row>
    <row r="18" spans="3:34" s="97" customFormat="1" ht="16.5" customHeight="1">
      <c r="C18" s="97" t="s">
        <v>82</v>
      </c>
      <c r="F18" s="98"/>
      <c r="H18" s="98"/>
      <c r="I18" s="98">
        <f>-'[2]pl-summary'!D33</f>
        <v>928.26434</v>
      </c>
      <c r="J18" s="98"/>
      <c r="K18" s="106">
        <v>2285</v>
      </c>
      <c r="L18" s="98"/>
      <c r="M18" s="106">
        <f>12+292+38+443</f>
        <v>785</v>
      </c>
      <c r="N18" s="98"/>
      <c r="O18" s="109">
        <v>6397</v>
      </c>
      <c r="P18" s="98"/>
      <c r="Q18" s="98">
        <f>+O18/4</f>
        <v>1599.25</v>
      </c>
      <c r="R18" s="98"/>
      <c r="S18" s="109">
        <v>6396919</v>
      </c>
      <c r="T18" s="110"/>
      <c r="U18" s="110">
        <v>8516</v>
      </c>
      <c r="V18" s="96"/>
      <c r="W18" s="97">
        <f t="shared" si="0"/>
        <v>2129</v>
      </c>
      <c r="X18" s="98"/>
      <c r="Y18" s="98"/>
      <c r="Z18" s="98"/>
      <c r="AA18" s="98"/>
      <c r="AB18" s="98"/>
      <c r="AC18" s="98"/>
      <c r="AD18" s="98"/>
      <c r="AE18" s="98"/>
      <c r="AF18" s="98"/>
      <c r="AG18" s="98"/>
      <c r="AH18" s="98"/>
    </row>
    <row r="19" spans="3:34" s="97" customFormat="1" ht="16.5" customHeight="1">
      <c r="C19" s="97" t="s">
        <v>140</v>
      </c>
      <c r="F19" s="98"/>
      <c r="H19" s="98"/>
      <c r="I19" s="98">
        <f>-'[2]pl-summary'!D24</f>
        <v>124.773525</v>
      </c>
      <c r="J19" s="98"/>
      <c r="K19" s="97">
        <v>0</v>
      </c>
      <c r="L19" s="98"/>
      <c r="M19" s="106">
        <v>-131</v>
      </c>
      <c r="N19" s="98"/>
      <c r="O19" s="109">
        <v>-259</v>
      </c>
      <c r="P19" s="98"/>
      <c r="Q19" s="98">
        <v>-65</v>
      </c>
      <c r="R19" s="98"/>
      <c r="S19" s="109">
        <v>-259454</v>
      </c>
      <c r="T19" s="110"/>
      <c r="U19" s="110">
        <v>-259</v>
      </c>
      <c r="V19" s="96"/>
      <c r="W19" s="97">
        <f t="shared" si="0"/>
        <v>-64.75</v>
      </c>
      <c r="X19" s="98"/>
      <c r="Y19" s="98"/>
      <c r="Z19" s="98"/>
      <c r="AA19" s="98"/>
      <c r="AB19" s="98"/>
      <c r="AC19" s="98"/>
      <c r="AD19" s="98"/>
      <c r="AE19" s="98"/>
      <c r="AF19" s="98"/>
      <c r="AG19" s="98"/>
      <c r="AH19" s="98"/>
    </row>
    <row r="20" spans="3:34" s="97" customFormat="1" ht="16.5" customHeight="1" hidden="1">
      <c r="C20" s="97" t="s">
        <v>141</v>
      </c>
      <c r="F20" s="98"/>
      <c r="H20" s="98"/>
      <c r="I20" s="98"/>
      <c r="J20" s="98"/>
      <c r="K20" s="98"/>
      <c r="L20" s="98"/>
      <c r="M20" s="106">
        <v>0</v>
      </c>
      <c r="N20" s="98"/>
      <c r="O20" s="110">
        <v>508</v>
      </c>
      <c r="P20" s="98"/>
      <c r="Q20" s="98">
        <v>0</v>
      </c>
      <c r="R20" s="98"/>
      <c r="S20" s="110">
        <f>407473+100383</f>
        <v>507856</v>
      </c>
      <c r="T20" s="110"/>
      <c r="U20" s="110"/>
      <c r="V20" s="96"/>
      <c r="W20" s="97">
        <f t="shared" si="0"/>
        <v>0</v>
      </c>
      <c r="X20" s="98"/>
      <c r="Y20" s="98"/>
      <c r="Z20" s="98"/>
      <c r="AA20" s="98"/>
      <c r="AB20" s="98"/>
      <c r="AC20" s="98"/>
      <c r="AD20" s="98"/>
      <c r="AE20" s="98"/>
      <c r="AF20" s="98"/>
      <c r="AG20" s="98"/>
      <c r="AH20" s="98"/>
    </row>
    <row r="21" spans="3:34" s="97" customFormat="1" ht="16.5" customHeight="1" hidden="1">
      <c r="C21" s="97" t="s">
        <v>142</v>
      </c>
      <c r="F21" s="98"/>
      <c r="H21" s="98"/>
      <c r="I21" s="98"/>
      <c r="J21" s="98"/>
      <c r="K21" s="98"/>
      <c r="L21" s="98"/>
      <c r="M21" s="106">
        <v>0</v>
      </c>
      <c r="N21" s="98"/>
      <c r="O21" s="110">
        <v>0</v>
      </c>
      <c r="P21" s="98"/>
      <c r="Q21" s="98">
        <v>0</v>
      </c>
      <c r="R21" s="98"/>
      <c r="S21" s="110">
        <v>0</v>
      </c>
      <c r="T21" s="110"/>
      <c r="U21" s="110">
        <v>100</v>
      </c>
      <c r="V21" s="96"/>
      <c r="W21" s="97">
        <f t="shared" si="0"/>
        <v>25</v>
      </c>
      <c r="X21" s="98"/>
      <c r="Y21" s="98"/>
      <c r="Z21" s="98"/>
      <c r="AA21" s="98"/>
      <c r="AB21" s="98"/>
      <c r="AC21" s="98"/>
      <c r="AD21" s="98"/>
      <c r="AE21" s="98"/>
      <c r="AF21" s="98"/>
      <c r="AG21" s="98"/>
      <c r="AH21" s="98"/>
    </row>
    <row r="22" spans="3:34" s="97" customFormat="1" ht="16.5" customHeight="1" hidden="1">
      <c r="C22" s="97" t="s">
        <v>143</v>
      </c>
      <c r="F22" s="98"/>
      <c r="H22" s="98"/>
      <c r="I22" s="98"/>
      <c r="J22" s="98"/>
      <c r="K22" s="98"/>
      <c r="L22" s="98"/>
      <c r="M22" s="106"/>
      <c r="N22" s="98"/>
      <c r="P22" s="98"/>
      <c r="Q22" s="98"/>
      <c r="R22" s="98"/>
      <c r="V22" s="96"/>
      <c r="W22" s="97">
        <f t="shared" si="0"/>
        <v>0</v>
      </c>
      <c r="X22" s="98"/>
      <c r="Y22" s="98"/>
      <c r="Z22" s="98"/>
      <c r="AA22" s="98"/>
      <c r="AB22" s="98"/>
      <c r="AC22" s="98"/>
      <c r="AD22" s="98"/>
      <c r="AE22" s="98"/>
      <c r="AF22" s="98"/>
      <c r="AG22" s="98"/>
      <c r="AH22" s="98"/>
    </row>
    <row r="23" spans="3:34" s="97" customFormat="1" ht="16.5" customHeight="1" hidden="1">
      <c r="C23" s="97" t="s">
        <v>144</v>
      </c>
      <c r="F23" s="98"/>
      <c r="H23" s="98"/>
      <c r="I23" s="98"/>
      <c r="J23" s="98"/>
      <c r="K23" s="98"/>
      <c r="L23" s="98"/>
      <c r="M23" s="106">
        <v>0</v>
      </c>
      <c r="N23" s="98"/>
      <c r="O23" s="110">
        <v>-805</v>
      </c>
      <c r="P23" s="98"/>
      <c r="Q23" s="98">
        <v>0</v>
      </c>
      <c r="R23" s="98"/>
      <c r="S23" s="116">
        <v>-804542</v>
      </c>
      <c r="T23" s="110"/>
      <c r="U23" s="116">
        <v>0</v>
      </c>
      <c r="V23" s="96"/>
      <c r="W23" s="115">
        <f t="shared" si="0"/>
        <v>0</v>
      </c>
      <c r="X23" s="98"/>
      <c r="Y23" s="98"/>
      <c r="Z23" s="98"/>
      <c r="AA23" s="98"/>
      <c r="AB23" s="98"/>
      <c r="AC23" s="98"/>
      <c r="AD23" s="98"/>
      <c r="AE23" s="98"/>
      <c r="AF23" s="98"/>
      <c r="AG23" s="98"/>
      <c r="AH23" s="98"/>
    </row>
    <row r="24" spans="3:34" s="97" customFormat="1" ht="16.5" customHeight="1">
      <c r="C24" s="97" t="s">
        <v>83</v>
      </c>
      <c r="F24" s="98"/>
      <c r="H24" s="98"/>
      <c r="I24" s="115">
        <f>-130</f>
        <v>-130</v>
      </c>
      <c r="J24" s="98"/>
      <c r="K24" s="115">
        <f>-130-70</f>
        <v>-200</v>
      </c>
      <c r="L24" s="98"/>
      <c r="M24" s="106"/>
      <c r="N24" s="98"/>
      <c r="O24" s="110"/>
      <c r="P24" s="98"/>
      <c r="Q24" s="98"/>
      <c r="R24" s="98"/>
      <c r="S24" s="110"/>
      <c r="T24" s="110"/>
      <c r="U24" s="110"/>
      <c r="V24" s="96"/>
      <c r="W24" s="98"/>
      <c r="X24" s="98"/>
      <c r="Y24" s="98"/>
      <c r="Z24" s="98"/>
      <c r="AA24" s="98"/>
      <c r="AB24" s="98"/>
      <c r="AC24" s="98"/>
      <c r="AD24" s="98"/>
      <c r="AE24" s="98"/>
      <c r="AF24" s="98"/>
      <c r="AG24" s="98"/>
      <c r="AH24" s="98"/>
    </row>
    <row r="25" spans="6:34" s="97" customFormat="1" ht="16.5" customHeight="1">
      <c r="F25" s="98"/>
      <c r="H25" s="98"/>
      <c r="I25" s="98"/>
      <c r="J25" s="98"/>
      <c r="K25" s="98"/>
      <c r="L25" s="98"/>
      <c r="M25" s="117"/>
      <c r="N25" s="98"/>
      <c r="O25" s="109"/>
      <c r="P25" s="98"/>
      <c r="Q25" s="118"/>
      <c r="R25" s="98"/>
      <c r="S25" s="109"/>
      <c r="T25" s="110"/>
      <c r="U25" s="110"/>
      <c r="V25" s="96"/>
      <c r="X25" s="98"/>
      <c r="Y25" s="98"/>
      <c r="Z25" s="98"/>
      <c r="AA25" s="98"/>
      <c r="AB25" s="98"/>
      <c r="AC25" s="98"/>
      <c r="AD25" s="98"/>
      <c r="AE25" s="98"/>
      <c r="AF25" s="98"/>
      <c r="AG25" s="98"/>
      <c r="AH25" s="98"/>
    </row>
    <row r="26" spans="2:34" s="97" customFormat="1" ht="16.5" customHeight="1">
      <c r="B26" s="97" t="s">
        <v>84</v>
      </c>
      <c r="F26" s="98"/>
      <c r="H26" s="98"/>
      <c r="I26" s="109">
        <f>SUM(I10:I24)</f>
        <v>2894.419085</v>
      </c>
      <c r="J26" s="98"/>
      <c r="K26" s="109">
        <f>SUM(K10:K24)</f>
        <v>3869</v>
      </c>
      <c r="L26" s="109"/>
      <c r="M26" s="112">
        <f>SUM(M10:M23)</f>
        <v>1148</v>
      </c>
      <c r="N26" s="98"/>
      <c r="O26" s="109">
        <f>SUM(O10:O23)</f>
        <v>10337</v>
      </c>
      <c r="P26" s="98"/>
      <c r="Q26" s="109">
        <f>SUM(Q10:Q23)</f>
        <v>2182.25</v>
      </c>
      <c r="R26" s="98"/>
      <c r="S26" s="109">
        <f>SUM(S10:S23)</f>
        <v>10337000</v>
      </c>
      <c r="T26" s="110"/>
      <c r="U26" s="110">
        <f>SUM(U10:U23)</f>
        <v>10010</v>
      </c>
      <c r="V26" s="96"/>
      <c r="W26" s="110">
        <f>SUM(W10:W23)</f>
        <v>2502.5</v>
      </c>
      <c r="X26" s="98"/>
      <c r="Y26" s="98"/>
      <c r="Z26" s="98"/>
      <c r="AA26" s="98"/>
      <c r="AB26" s="98"/>
      <c r="AC26" s="98"/>
      <c r="AD26" s="98"/>
      <c r="AE26" s="98"/>
      <c r="AF26" s="98"/>
      <c r="AG26" s="98"/>
      <c r="AH26" s="98"/>
    </row>
    <row r="27" spans="3:34" s="97" customFormat="1" ht="16.5" customHeight="1">
      <c r="C27" s="97" t="s">
        <v>29</v>
      </c>
      <c r="F27" s="98"/>
      <c r="H27" s="98"/>
      <c r="I27" s="98">
        <f>'[2]CF workings Q2 04'!Y40</f>
        <v>-3396.21019</v>
      </c>
      <c r="J27" s="98"/>
      <c r="K27" s="98">
        <v>2265</v>
      </c>
      <c r="L27" s="98"/>
      <c r="M27" s="106">
        <v>0</v>
      </c>
      <c r="N27" s="98"/>
      <c r="O27" s="109">
        <v>4697</v>
      </c>
      <c r="P27" s="98"/>
      <c r="Q27" s="98">
        <v>0</v>
      </c>
      <c r="R27" s="98"/>
      <c r="S27" s="109">
        <v>4697459</v>
      </c>
      <c r="T27" s="110"/>
      <c r="U27" s="110">
        <v>-12406</v>
      </c>
      <c r="V27" s="96"/>
      <c r="W27" s="97">
        <f>+U27/4</f>
        <v>-3101.5</v>
      </c>
      <c r="X27" s="98"/>
      <c r="Y27" s="98"/>
      <c r="Z27" s="98"/>
      <c r="AA27" s="98"/>
      <c r="AB27" s="98"/>
      <c r="AC27" s="98"/>
      <c r="AD27" s="98"/>
      <c r="AE27" s="98"/>
      <c r="AF27" s="98"/>
      <c r="AG27" s="98"/>
      <c r="AH27" s="98"/>
    </row>
    <row r="28" spans="3:34" s="97" customFormat="1" ht="16.5" customHeight="1">
      <c r="C28" s="97" t="s">
        <v>145</v>
      </c>
      <c r="F28" s="98"/>
      <c r="H28" s="98"/>
      <c r="I28" s="98"/>
      <c r="J28" s="98"/>
      <c r="K28" s="98"/>
      <c r="L28" s="98"/>
      <c r="M28" s="106"/>
      <c r="N28" s="98"/>
      <c r="O28" s="109"/>
      <c r="P28" s="98"/>
      <c r="Q28" s="98"/>
      <c r="R28" s="98"/>
      <c r="S28" s="109"/>
      <c r="T28" s="110"/>
      <c r="U28" s="110"/>
      <c r="V28" s="96"/>
      <c r="X28" s="98"/>
      <c r="Y28" s="98"/>
      <c r="Z28" s="98"/>
      <c r="AA28" s="98"/>
      <c r="AB28" s="98"/>
      <c r="AC28" s="98"/>
      <c r="AD28" s="98"/>
      <c r="AE28" s="98"/>
      <c r="AF28" s="98"/>
      <c r="AG28" s="98"/>
      <c r="AH28" s="98"/>
    </row>
    <row r="29" spans="3:34" s="97" customFormat="1" ht="16.5" customHeight="1">
      <c r="C29" s="97" t="s">
        <v>146</v>
      </c>
      <c r="F29" s="98"/>
      <c r="H29" s="98"/>
      <c r="I29" s="98">
        <f>'[2]CF workings Q2 04'!Y39</f>
        <v>-880.1490000000003</v>
      </c>
      <c r="J29" s="98"/>
      <c r="K29" s="98">
        <v>-4445</v>
      </c>
      <c r="L29" s="98"/>
      <c r="M29" s="106">
        <v>1951</v>
      </c>
      <c r="N29" s="98"/>
      <c r="O29" s="109">
        <v>-367</v>
      </c>
      <c r="P29" s="98"/>
      <c r="Q29" s="98">
        <v>1502</v>
      </c>
      <c r="R29" s="98"/>
      <c r="S29" s="109">
        <v>-367456</v>
      </c>
      <c r="T29" s="110"/>
      <c r="U29" s="110">
        <v>2049</v>
      </c>
      <c r="V29" s="96"/>
      <c r="W29" s="97">
        <f>+U29/4</f>
        <v>512.25</v>
      </c>
      <c r="X29" s="98"/>
      <c r="Y29" s="98"/>
      <c r="Z29" s="98"/>
      <c r="AA29" s="98"/>
      <c r="AB29" s="98"/>
      <c r="AC29" s="98"/>
      <c r="AD29" s="98"/>
      <c r="AE29" s="98"/>
      <c r="AF29" s="98"/>
      <c r="AG29" s="98"/>
      <c r="AH29" s="98"/>
    </row>
    <row r="30" spans="3:34" s="97" customFormat="1" ht="16.5" customHeight="1">
      <c r="C30" s="97" t="s">
        <v>147</v>
      </c>
      <c r="F30" s="98"/>
      <c r="H30" s="98"/>
      <c r="I30" s="98">
        <f>'[2]CF workings Q2 04'!Y38</f>
        <v>-764.0781700000007</v>
      </c>
      <c r="J30" s="98"/>
      <c r="K30" s="98">
        <v>23059</v>
      </c>
      <c r="L30" s="98"/>
      <c r="M30" s="106">
        <v>7311</v>
      </c>
      <c r="N30" s="98"/>
      <c r="P30" s="98"/>
      <c r="Q30" s="98"/>
      <c r="R30" s="98"/>
      <c r="V30" s="96"/>
      <c r="X30" s="98"/>
      <c r="Y30" s="98"/>
      <c r="Z30" s="98"/>
      <c r="AA30" s="98"/>
      <c r="AB30" s="98"/>
      <c r="AC30" s="98"/>
      <c r="AD30" s="98"/>
      <c r="AE30" s="98"/>
      <c r="AF30" s="98"/>
      <c r="AG30" s="98"/>
      <c r="AH30" s="98"/>
    </row>
    <row r="31" spans="3:34" s="97" customFormat="1" ht="16.5" customHeight="1">
      <c r="C31" s="97" t="s">
        <v>148</v>
      </c>
      <c r="F31" s="98"/>
      <c r="H31" s="98"/>
      <c r="I31" s="98">
        <f>'[2]CF workings Q2 04'!Y30</f>
        <v>2766.151</v>
      </c>
      <c r="J31" s="98"/>
      <c r="K31" s="98">
        <v>829</v>
      </c>
      <c r="L31" s="98"/>
      <c r="M31" s="106">
        <v>0</v>
      </c>
      <c r="N31" s="98"/>
      <c r="P31" s="98"/>
      <c r="Q31" s="98"/>
      <c r="R31" s="98"/>
      <c r="V31" s="96"/>
      <c r="X31" s="98"/>
      <c r="Y31" s="98"/>
      <c r="Z31" s="98"/>
      <c r="AA31" s="98"/>
      <c r="AB31" s="98"/>
      <c r="AC31" s="98"/>
      <c r="AD31" s="98"/>
      <c r="AE31" s="98"/>
      <c r="AF31" s="98"/>
      <c r="AG31" s="98"/>
      <c r="AH31" s="98"/>
    </row>
    <row r="32" spans="3:34" s="97" customFormat="1" ht="16.5" customHeight="1">
      <c r="C32" s="97" t="s">
        <v>126</v>
      </c>
      <c r="F32" s="98"/>
      <c r="H32" s="98"/>
      <c r="I32" s="98">
        <v>11074</v>
      </c>
      <c r="J32" s="98"/>
      <c r="K32" s="98">
        <f>11609+1293</f>
        <v>12902</v>
      </c>
      <c r="L32" s="98"/>
      <c r="M32" s="106">
        <v>748</v>
      </c>
      <c r="N32" s="98"/>
      <c r="O32" s="109">
        <v>3673</v>
      </c>
      <c r="P32" s="98"/>
      <c r="Q32" s="98">
        <f>6807-1996</f>
        <v>4811</v>
      </c>
      <c r="R32" s="98"/>
      <c r="S32" s="109">
        <v>3672846</v>
      </c>
      <c r="T32" s="110"/>
      <c r="U32" s="110">
        <v>1830</v>
      </c>
      <c r="V32" s="96"/>
      <c r="W32" s="97">
        <f>+U32/4</f>
        <v>457.5</v>
      </c>
      <c r="X32" s="98"/>
      <c r="Y32" s="98"/>
      <c r="Z32" s="98"/>
      <c r="AA32" s="98"/>
      <c r="AB32" s="98"/>
      <c r="AC32" s="98"/>
      <c r="AD32" s="98"/>
      <c r="AE32" s="98"/>
      <c r="AF32" s="98"/>
      <c r="AG32" s="98"/>
      <c r="AH32" s="98"/>
    </row>
    <row r="33" spans="3:34" s="97" customFormat="1" ht="16.5" customHeight="1">
      <c r="C33" s="97" t="s">
        <v>127</v>
      </c>
      <c r="F33" s="98"/>
      <c r="H33" s="98"/>
      <c r="I33" s="98">
        <f>'[3]CF Q 2 2004'!$I$32</f>
        <v>-7450.272519999997</v>
      </c>
      <c r="J33" s="98"/>
      <c r="K33" s="98">
        <f>-15765-3661-193</f>
        <v>-19619</v>
      </c>
      <c r="L33" s="98"/>
      <c r="M33" s="106">
        <v>-3043</v>
      </c>
      <c r="N33" s="98"/>
      <c r="O33" s="110">
        <v>4456</v>
      </c>
      <c r="P33" s="98"/>
      <c r="Q33" s="98">
        <v>391</v>
      </c>
      <c r="R33" s="98"/>
      <c r="S33" s="116">
        <v>4455648</v>
      </c>
      <c r="T33" s="110"/>
      <c r="U33" s="116">
        <v>-5664</v>
      </c>
      <c r="V33" s="96"/>
      <c r="W33" s="97">
        <f>+U33/4</f>
        <v>-1416</v>
      </c>
      <c r="X33" s="98"/>
      <c r="Y33" s="98"/>
      <c r="Z33" s="98"/>
      <c r="AA33" s="98"/>
      <c r="AB33" s="98"/>
      <c r="AC33" s="98"/>
      <c r="AD33" s="98"/>
      <c r="AE33" s="98"/>
      <c r="AF33" s="98"/>
      <c r="AG33" s="98"/>
      <c r="AH33" s="98"/>
    </row>
    <row r="34" spans="3:34" s="97" customFormat="1" ht="16.5" customHeight="1">
      <c r="C34" s="97" t="s">
        <v>149</v>
      </c>
      <c r="F34" s="98"/>
      <c r="H34" s="98"/>
      <c r="I34" s="115">
        <f>'[2]CF workings Q2 04'!Y57</f>
        <v>97.43508200000002</v>
      </c>
      <c r="J34" s="98"/>
      <c r="K34" s="115">
        <v>51</v>
      </c>
      <c r="L34" s="98"/>
      <c r="M34" s="119">
        <v>175</v>
      </c>
      <c r="N34" s="98"/>
      <c r="O34" s="110"/>
      <c r="P34" s="98"/>
      <c r="Q34" s="115">
        <v>0</v>
      </c>
      <c r="R34" s="98"/>
      <c r="S34" s="110"/>
      <c r="T34" s="110"/>
      <c r="U34" s="110"/>
      <c r="V34" s="96"/>
      <c r="X34" s="98"/>
      <c r="Y34" s="98"/>
      <c r="Z34" s="98"/>
      <c r="AA34" s="98"/>
      <c r="AB34" s="98"/>
      <c r="AC34" s="98"/>
      <c r="AD34" s="98"/>
      <c r="AE34" s="98"/>
      <c r="AF34" s="98"/>
      <c r="AG34" s="98"/>
      <c r="AH34" s="98"/>
    </row>
    <row r="35" spans="6:34" s="97" customFormat="1" ht="16.5" customHeight="1">
      <c r="F35" s="98"/>
      <c r="H35" s="98"/>
      <c r="I35" s="98"/>
      <c r="J35" s="98"/>
      <c r="K35" s="98"/>
      <c r="L35" s="98"/>
      <c r="M35" s="106"/>
      <c r="N35" s="98"/>
      <c r="P35" s="98"/>
      <c r="Q35" s="98"/>
      <c r="R35" s="98"/>
      <c r="T35" s="98"/>
      <c r="U35" s="98"/>
      <c r="V35" s="96"/>
      <c r="X35" s="98"/>
      <c r="Y35" s="98"/>
      <c r="Z35" s="98"/>
      <c r="AA35" s="98"/>
      <c r="AB35" s="98"/>
      <c r="AC35" s="98"/>
      <c r="AD35" s="98"/>
      <c r="AE35" s="98"/>
      <c r="AF35" s="98"/>
      <c r="AG35" s="98"/>
      <c r="AH35" s="98"/>
    </row>
    <row r="36" spans="2:34" s="97" customFormat="1" ht="16.5" customHeight="1">
      <c r="B36" s="97" t="s">
        <v>87</v>
      </c>
      <c r="F36" s="98"/>
      <c r="H36" s="98"/>
      <c r="I36" s="109">
        <f>SUM(I26:I34)</f>
        <v>4341.295287000003</v>
      </c>
      <c r="J36" s="98"/>
      <c r="K36" s="109">
        <f>SUM(K26:K34)</f>
        <v>18911</v>
      </c>
      <c r="L36" s="109"/>
      <c r="M36" s="112">
        <f>SUM(M26:M34)</f>
        <v>8290</v>
      </c>
      <c r="N36" s="109"/>
      <c r="O36" s="109">
        <f>SUM(O26:O33)</f>
        <v>22796</v>
      </c>
      <c r="P36" s="98"/>
      <c r="Q36" s="109">
        <f>SUM(Q26:Q34)</f>
        <v>8886.25</v>
      </c>
      <c r="R36" s="98"/>
      <c r="S36" s="109">
        <f>SUM(S26:S33)</f>
        <v>22795497</v>
      </c>
      <c r="T36" s="110"/>
      <c r="U36" s="110">
        <f>SUM(U26:U33)</f>
        <v>-4181</v>
      </c>
      <c r="V36" s="96"/>
      <c r="X36" s="98"/>
      <c r="Y36" s="98"/>
      <c r="Z36" s="98"/>
      <c r="AA36" s="98"/>
      <c r="AB36" s="98"/>
      <c r="AC36" s="98"/>
      <c r="AD36" s="98"/>
      <c r="AE36" s="98"/>
      <c r="AF36" s="98"/>
      <c r="AG36" s="98"/>
      <c r="AH36" s="98"/>
    </row>
    <row r="37" spans="3:34" s="97" customFormat="1" ht="16.5" customHeight="1">
      <c r="C37" s="97" t="s">
        <v>88</v>
      </c>
      <c r="F37" s="98"/>
      <c r="H37" s="98"/>
      <c r="I37" s="98">
        <f>'[2]CF workings Q2 04'!Z63</f>
        <v>-366</v>
      </c>
      <c r="J37" s="98"/>
      <c r="K37" s="98">
        <v>-1632</v>
      </c>
      <c r="L37" s="98"/>
      <c r="M37" s="106">
        <v>-1603</v>
      </c>
      <c r="N37" s="98"/>
      <c r="O37" s="109">
        <v>-2027</v>
      </c>
      <c r="P37" s="98"/>
      <c r="Q37" s="98">
        <f>+O37/4</f>
        <v>-506.75</v>
      </c>
      <c r="R37" s="98"/>
      <c r="S37" s="109">
        <v>-2027231</v>
      </c>
      <c r="T37" s="98"/>
      <c r="U37" s="98">
        <v>-653</v>
      </c>
      <c r="V37" s="96"/>
      <c r="W37" s="97">
        <f>+U37/4</f>
        <v>-163.25</v>
      </c>
      <c r="X37" s="98"/>
      <c r="Y37" s="98"/>
      <c r="Z37" s="98"/>
      <c r="AA37" s="98"/>
      <c r="AB37" s="98"/>
      <c r="AC37" s="98"/>
      <c r="AD37" s="98"/>
      <c r="AE37" s="98"/>
      <c r="AF37" s="98"/>
      <c r="AG37" s="98"/>
      <c r="AH37" s="98"/>
    </row>
    <row r="38" spans="3:34" s="97" customFormat="1" ht="16.5" customHeight="1">
      <c r="C38" s="97" t="s">
        <v>89</v>
      </c>
      <c r="F38" s="98"/>
      <c r="H38" s="98"/>
      <c r="I38" s="98">
        <f>-I17</f>
        <v>105</v>
      </c>
      <c r="J38" s="98"/>
      <c r="K38" s="106">
        <f>-K17</f>
        <v>52</v>
      </c>
      <c r="L38" s="98"/>
      <c r="M38" s="106">
        <v>21</v>
      </c>
      <c r="N38" s="98"/>
      <c r="O38" s="109">
        <v>345</v>
      </c>
      <c r="P38" s="98"/>
      <c r="Q38" s="98">
        <f>+O38/4</f>
        <v>86.25</v>
      </c>
      <c r="R38" s="98"/>
      <c r="S38" s="109">
        <v>344630</v>
      </c>
      <c r="T38" s="110"/>
      <c r="U38" s="110">
        <v>97</v>
      </c>
      <c r="V38" s="96"/>
      <c r="W38" s="97">
        <f>+U38/4</f>
        <v>24.25</v>
      </c>
      <c r="X38" s="98"/>
      <c r="Y38" s="98"/>
      <c r="Z38" s="98"/>
      <c r="AA38" s="98"/>
      <c r="AB38" s="98"/>
      <c r="AC38" s="98"/>
      <c r="AD38" s="98"/>
      <c r="AE38" s="98"/>
      <c r="AF38" s="98"/>
      <c r="AG38" s="98"/>
      <c r="AH38" s="98"/>
    </row>
    <row r="39" spans="3:34" s="97" customFormat="1" ht="16.5" customHeight="1">
      <c r="C39" s="97" t="s">
        <v>90</v>
      </c>
      <c r="F39" s="98"/>
      <c r="H39" s="98"/>
      <c r="I39" s="115">
        <f>-I18</f>
        <v>-928.26434</v>
      </c>
      <c r="J39" s="98"/>
      <c r="K39" s="119">
        <f>-K18</f>
        <v>-2285</v>
      </c>
      <c r="L39" s="98"/>
      <c r="M39" s="119">
        <f>-M18</f>
        <v>-785</v>
      </c>
      <c r="N39" s="98"/>
      <c r="O39" s="116">
        <v>-6397</v>
      </c>
      <c r="P39" s="98"/>
      <c r="Q39" s="115">
        <f>+O39/4</f>
        <v>-1599.25</v>
      </c>
      <c r="R39" s="98"/>
      <c r="S39" s="116">
        <v>-6396919</v>
      </c>
      <c r="T39" s="110"/>
      <c r="U39" s="116">
        <v>-8516</v>
      </c>
      <c r="V39" s="96"/>
      <c r="W39" s="115">
        <f>+U39/4</f>
        <v>-2129</v>
      </c>
      <c r="X39" s="98"/>
      <c r="Y39" s="98"/>
      <c r="Z39" s="98"/>
      <c r="AA39" s="98"/>
      <c r="AB39" s="98"/>
      <c r="AC39" s="98"/>
      <c r="AD39" s="98"/>
      <c r="AE39" s="98"/>
      <c r="AF39" s="98"/>
      <c r="AG39" s="98"/>
      <c r="AH39" s="98"/>
    </row>
    <row r="40" spans="6:34" s="97" customFormat="1" ht="16.5" customHeight="1">
      <c r="F40" s="98"/>
      <c r="H40" s="98"/>
      <c r="I40" s="98"/>
      <c r="J40" s="98"/>
      <c r="K40" s="98"/>
      <c r="L40" s="98"/>
      <c r="M40" s="106"/>
      <c r="N40" s="98"/>
      <c r="P40" s="98"/>
      <c r="Q40" s="98"/>
      <c r="R40" s="98"/>
      <c r="T40" s="110"/>
      <c r="U40" s="110"/>
      <c r="V40" s="96"/>
      <c r="X40" s="98"/>
      <c r="Y40" s="98"/>
      <c r="Z40" s="98"/>
      <c r="AA40" s="98"/>
      <c r="AB40" s="98"/>
      <c r="AC40" s="98"/>
      <c r="AD40" s="98"/>
      <c r="AE40" s="98"/>
      <c r="AF40" s="98"/>
      <c r="AG40" s="98"/>
      <c r="AH40" s="98"/>
    </row>
    <row r="41" spans="2:34" s="97" customFormat="1" ht="16.5" customHeight="1">
      <c r="B41" s="97" t="s">
        <v>91</v>
      </c>
      <c r="F41" s="98"/>
      <c r="H41" s="98"/>
      <c r="I41" s="116">
        <f>SUM(I36:I39)</f>
        <v>3152.030947000003</v>
      </c>
      <c r="J41" s="98"/>
      <c r="K41" s="116">
        <f>SUM(K36:K39)</f>
        <v>15046</v>
      </c>
      <c r="L41" s="110"/>
      <c r="M41" s="120">
        <f>SUM(M36:M39)</f>
        <v>5923</v>
      </c>
      <c r="N41" s="110"/>
      <c r="O41" s="116">
        <f>SUM(O36:O39)</f>
        <v>14717</v>
      </c>
      <c r="P41" s="98"/>
      <c r="Q41" s="116">
        <f>SUM(Q36:Q39)</f>
        <v>6866.5</v>
      </c>
      <c r="R41" s="98"/>
      <c r="S41" s="116">
        <f>SUM(S36:S39)</f>
        <v>14715977</v>
      </c>
      <c r="T41" s="110"/>
      <c r="U41" s="116">
        <f>SUM(U36:U39)</f>
        <v>-13253</v>
      </c>
      <c r="V41" s="96"/>
      <c r="W41" s="116">
        <f>SUM(W36:W39)</f>
        <v>-2268</v>
      </c>
      <c r="X41" s="98"/>
      <c r="Y41" s="98"/>
      <c r="Z41" s="98"/>
      <c r="AA41" s="98"/>
      <c r="AB41" s="98"/>
      <c r="AC41" s="98"/>
      <c r="AD41" s="98"/>
      <c r="AE41" s="98"/>
      <c r="AF41" s="98"/>
      <c r="AG41" s="98"/>
      <c r="AH41" s="98"/>
    </row>
    <row r="42" spans="6:34" s="97" customFormat="1" ht="16.5" customHeight="1">
      <c r="F42" s="98"/>
      <c r="H42" s="98"/>
      <c r="I42" s="98"/>
      <c r="J42" s="98"/>
      <c r="K42" s="98"/>
      <c r="L42" s="98"/>
      <c r="M42" s="106"/>
      <c r="N42" s="98"/>
      <c r="O42" s="110"/>
      <c r="P42" s="98"/>
      <c r="Q42" s="98"/>
      <c r="R42" s="98"/>
      <c r="S42" s="110"/>
      <c r="T42" s="110"/>
      <c r="U42" s="110"/>
      <c r="V42" s="96"/>
      <c r="X42" s="98"/>
      <c r="Y42" s="98"/>
      <c r="Z42" s="98"/>
      <c r="AA42" s="98"/>
      <c r="AB42" s="98"/>
      <c r="AC42" s="98"/>
      <c r="AD42" s="98"/>
      <c r="AE42" s="98"/>
      <c r="AF42" s="98"/>
      <c r="AG42" s="98"/>
      <c r="AH42" s="98"/>
    </row>
    <row r="43" spans="1:34" s="97" customFormat="1" ht="16.5" customHeight="1">
      <c r="A43" s="87" t="s">
        <v>92</v>
      </c>
      <c r="F43" s="98"/>
      <c r="H43" s="98"/>
      <c r="I43" s="98"/>
      <c r="J43" s="98"/>
      <c r="K43" s="98"/>
      <c r="L43" s="98"/>
      <c r="M43" s="106"/>
      <c r="N43" s="98"/>
      <c r="O43" s="109"/>
      <c r="P43" s="98"/>
      <c r="Q43" s="98"/>
      <c r="R43" s="98"/>
      <c r="S43" s="109"/>
      <c r="T43" s="110"/>
      <c r="U43" s="110"/>
      <c r="V43" s="96"/>
      <c r="X43" s="98"/>
      <c r="Y43" s="98"/>
      <c r="Z43" s="98"/>
      <c r="AA43" s="98"/>
      <c r="AB43" s="98"/>
      <c r="AC43" s="98"/>
      <c r="AD43" s="98"/>
      <c r="AE43" s="98"/>
      <c r="AF43" s="98"/>
      <c r="AG43" s="98"/>
      <c r="AH43" s="98"/>
    </row>
    <row r="44" spans="2:34" s="97" customFormat="1" ht="16.5" customHeight="1">
      <c r="B44" s="108" t="s">
        <v>93</v>
      </c>
      <c r="F44" s="98"/>
      <c r="H44" s="98"/>
      <c r="I44" s="98">
        <f>'[2]CF workings Q2 04'!Z27</f>
        <v>-359</v>
      </c>
      <c r="J44" s="98"/>
      <c r="K44" s="106">
        <v>-202</v>
      </c>
      <c r="L44" s="106"/>
      <c r="M44" s="106">
        <v>-285</v>
      </c>
      <c r="N44" s="106"/>
      <c r="O44" s="112">
        <v>-574</v>
      </c>
      <c r="P44" s="106"/>
      <c r="Q44" s="106">
        <v>0</v>
      </c>
      <c r="R44" s="98"/>
      <c r="S44" s="109">
        <v>-574442</v>
      </c>
      <c r="T44" s="110"/>
      <c r="U44" s="110">
        <v>-163</v>
      </c>
      <c r="V44" s="96"/>
      <c r="W44" s="97">
        <v>0</v>
      </c>
      <c r="X44" s="98"/>
      <c r="Y44" s="98"/>
      <c r="Z44" s="98"/>
      <c r="AA44" s="98"/>
      <c r="AB44" s="98"/>
      <c r="AC44" s="98"/>
      <c r="AD44" s="98"/>
      <c r="AE44" s="98"/>
      <c r="AF44" s="98"/>
      <c r="AG44" s="98"/>
      <c r="AH44" s="98"/>
    </row>
    <row r="45" spans="2:34" s="97" customFormat="1" ht="16.5" customHeight="1">
      <c r="B45" s="97" t="s">
        <v>94</v>
      </c>
      <c r="F45" s="98"/>
      <c r="H45" s="98"/>
      <c r="I45" s="98"/>
      <c r="J45" s="98"/>
      <c r="K45" s="106"/>
      <c r="L45" s="106"/>
      <c r="M45" s="106"/>
      <c r="N45" s="106"/>
      <c r="O45" s="111"/>
      <c r="P45" s="106"/>
      <c r="Q45" s="106"/>
      <c r="R45" s="98"/>
      <c r="V45" s="96"/>
      <c r="X45" s="98"/>
      <c r="Y45" s="98"/>
      <c r="Z45" s="98"/>
      <c r="AA45" s="98"/>
      <c r="AB45" s="98"/>
      <c r="AC45" s="98"/>
      <c r="AD45" s="98"/>
      <c r="AE45" s="98"/>
      <c r="AF45" s="98"/>
      <c r="AG45" s="98"/>
      <c r="AH45" s="98"/>
    </row>
    <row r="46" spans="2:34" s="97" customFormat="1" ht="16.5" customHeight="1">
      <c r="B46" s="97" t="s">
        <v>95</v>
      </c>
      <c r="F46" s="98"/>
      <c r="H46" s="98"/>
      <c r="I46" s="115">
        <f>'[2]CF workings Q2 04'!Z28</f>
        <v>1533</v>
      </c>
      <c r="J46" s="98"/>
      <c r="K46" s="119">
        <v>593</v>
      </c>
      <c r="L46" s="106"/>
      <c r="M46" s="106">
        <v>4995</v>
      </c>
      <c r="N46" s="106"/>
      <c r="O46" s="112">
        <v>5869</v>
      </c>
      <c r="P46" s="106"/>
      <c r="Q46" s="106">
        <v>0</v>
      </c>
      <c r="R46" s="98"/>
      <c r="S46" s="109">
        <f>5801947+66680</f>
        <v>5868627</v>
      </c>
      <c r="T46" s="110"/>
      <c r="U46" s="110">
        <v>18451</v>
      </c>
      <c r="V46" s="96"/>
      <c r="W46" s="97">
        <v>0</v>
      </c>
      <c r="X46" s="98"/>
      <c r="Y46" s="98"/>
      <c r="Z46" s="98"/>
      <c r="AA46" s="98"/>
      <c r="AB46" s="98"/>
      <c r="AC46" s="98"/>
      <c r="AD46" s="98"/>
      <c r="AE46" s="98"/>
      <c r="AF46" s="98"/>
      <c r="AG46" s="98"/>
      <c r="AH46" s="98"/>
    </row>
    <row r="47" spans="2:34" s="111" customFormat="1" ht="16.5" customHeight="1" hidden="1">
      <c r="B47" s="121" t="s">
        <v>150</v>
      </c>
      <c r="F47" s="106"/>
      <c r="H47" s="106"/>
      <c r="I47" s="106"/>
      <c r="J47" s="106"/>
      <c r="K47" s="106"/>
      <c r="L47" s="106"/>
      <c r="M47" s="106">
        <v>0</v>
      </c>
      <c r="N47" s="106"/>
      <c r="O47" s="113">
        <v>2923</v>
      </c>
      <c r="P47" s="106"/>
      <c r="Q47" s="106">
        <v>0</v>
      </c>
      <c r="R47" s="106"/>
      <c r="S47" s="113">
        <v>2923118</v>
      </c>
      <c r="T47" s="113"/>
      <c r="U47" s="113">
        <v>0</v>
      </c>
      <c r="V47" s="114"/>
      <c r="W47" s="111">
        <v>0</v>
      </c>
      <c r="X47" s="106"/>
      <c r="Y47" s="106"/>
      <c r="Z47" s="106"/>
      <c r="AA47" s="106"/>
      <c r="AB47" s="106"/>
      <c r="AC47" s="106"/>
      <c r="AD47" s="106"/>
      <c r="AE47" s="106"/>
      <c r="AF47" s="106"/>
      <c r="AG47" s="106"/>
      <c r="AH47" s="106"/>
    </row>
    <row r="48" spans="2:34" s="97" customFormat="1" ht="16.5" customHeight="1" hidden="1">
      <c r="B48" s="122" t="s">
        <v>151</v>
      </c>
      <c r="F48" s="98"/>
      <c r="H48" s="98"/>
      <c r="I48" s="98"/>
      <c r="J48" s="98"/>
      <c r="K48" s="98"/>
      <c r="L48" s="98"/>
      <c r="M48" s="106">
        <v>0</v>
      </c>
      <c r="N48" s="98"/>
      <c r="O48" s="110">
        <v>-68</v>
      </c>
      <c r="P48" s="98"/>
      <c r="Q48" s="98">
        <v>0</v>
      </c>
      <c r="R48" s="98"/>
      <c r="S48" s="110">
        <v>-67580</v>
      </c>
      <c r="T48" s="110"/>
      <c r="U48" s="110">
        <v>0</v>
      </c>
      <c r="V48" s="96"/>
      <c r="W48" s="97">
        <v>0</v>
      </c>
      <c r="X48" s="98"/>
      <c r="Y48" s="98"/>
      <c r="Z48" s="98"/>
      <c r="AA48" s="98"/>
      <c r="AB48" s="98"/>
      <c r="AC48" s="98"/>
      <c r="AD48" s="98"/>
      <c r="AE48" s="98"/>
      <c r="AF48" s="98"/>
      <c r="AG48" s="98"/>
      <c r="AH48" s="98"/>
    </row>
    <row r="49" spans="2:34" s="97" customFormat="1" ht="16.5" customHeight="1" hidden="1">
      <c r="B49" s="97" t="s">
        <v>152</v>
      </c>
      <c r="F49" s="98"/>
      <c r="H49" s="98"/>
      <c r="I49" s="98"/>
      <c r="J49" s="98"/>
      <c r="K49" s="98"/>
      <c r="L49" s="98"/>
      <c r="M49" s="119">
        <v>0</v>
      </c>
      <c r="N49" s="98"/>
      <c r="O49" s="123">
        <v>-735</v>
      </c>
      <c r="P49" s="98"/>
      <c r="Q49" s="115">
        <v>0</v>
      </c>
      <c r="R49" s="98"/>
      <c r="S49" s="123">
        <v>-734902</v>
      </c>
      <c r="T49" s="124"/>
      <c r="U49" s="123">
        <v>0</v>
      </c>
      <c r="V49" s="96"/>
      <c r="W49" s="115">
        <v>0</v>
      </c>
      <c r="X49" s="98"/>
      <c r="Y49" s="98"/>
      <c r="Z49" s="98"/>
      <c r="AA49" s="98"/>
      <c r="AB49" s="98"/>
      <c r="AC49" s="98"/>
      <c r="AD49" s="98"/>
      <c r="AE49" s="98"/>
      <c r="AF49" s="98"/>
      <c r="AG49" s="98"/>
      <c r="AH49" s="98"/>
    </row>
    <row r="50" spans="6:34" s="97" customFormat="1" ht="16.5" customHeight="1">
      <c r="F50" s="98"/>
      <c r="H50" s="98"/>
      <c r="I50" s="98"/>
      <c r="J50" s="98"/>
      <c r="K50" s="98"/>
      <c r="L50" s="98"/>
      <c r="M50" s="117"/>
      <c r="N50" s="98"/>
      <c r="O50" s="110"/>
      <c r="P50" s="98"/>
      <c r="Q50" s="118"/>
      <c r="R50" s="98"/>
      <c r="S50" s="110"/>
      <c r="T50" s="110"/>
      <c r="U50" s="110"/>
      <c r="V50" s="96"/>
      <c r="X50" s="98"/>
      <c r="Y50" s="98"/>
      <c r="Z50" s="98"/>
      <c r="AA50" s="98"/>
      <c r="AB50" s="98"/>
      <c r="AC50" s="98"/>
      <c r="AD50" s="98"/>
      <c r="AE50" s="98"/>
      <c r="AF50" s="98"/>
      <c r="AG50" s="98"/>
      <c r="AH50" s="98"/>
    </row>
    <row r="51" spans="2:34" s="97" customFormat="1" ht="16.5" customHeight="1">
      <c r="B51" s="97" t="s">
        <v>96</v>
      </c>
      <c r="F51" s="98"/>
      <c r="H51" s="98"/>
      <c r="I51" s="116">
        <f>SUM(I44:I50)</f>
        <v>1174</v>
      </c>
      <c r="J51" s="98"/>
      <c r="K51" s="116">
        <f>SUM(K44:K50)</f>
        <v>391</v>
      </c>
      <c r="L51" s="110"/>
      <c r="M51" s="120">
        <f>SUM(M44:M50)</f>
        <v>4710</v>
      </c>
      <c r="N51" s="110"/>
      <c r="O51" s="116">
        <f>SUM(O44:O50)</f>
        <v>7415</v>
      </c>
      <c r="P51" s="98"/>
      <c r="Q51" s="116">
        <f>SUM(Q44:Q50)</f>
        <v>0</v>
      </c>
      <c r="R51" s="98"/>
      <c r="S51" s="116">
        <f>SUM(S44:S50)</f>
        <v>7414821</v>
      </c>
      <c r="T51" s="110"/>
      <c r="U51" s="116">
        <f>SUM(U44:U49)</f>
        <v>18288</v>
      </c>
      <c r="V51" s="96"/>
      <c r="W51" s="116">
        <f>SUM(W44:W49)</f>
        <v>0</v>
      </c>
      <c r="X51" s="98"/>
      <c r="Y51" s="98"/>
      <c r="Z51" s="98"/>
      <c r="AA51" s="98"/>
      <c r="AB51" s="98"/>
      <c r="AC51" s="98"/>
      <c r="AD51" s="98"/>
      <c r="AE51" s="98"/>
      <c r="AF51" s="98"/>
      <c r="AG51" s="98"/>
      <c r="AH51" s="98"/>
    </row>
    <row r="52" spans="6:34" s="97" customFormat="1" ht="16.5" customHeight="1">
      <c r="F52" s="98"/>
      <c r="H52" s="98"/>
      <c r="I52" s="98"/>
      <c r="J52" s="98"/>
      <c r="K52" s="98"/>
      <c r="L52" s="98"/>
      <c r="M52" s="106"/>
      <c r="N52" s="98"/>
      <c r="O52" s="110"/>
      <c r="P52" s="98"/>
      <c r="Q52" s="98"/>
      <c r="R52" s="98"/>
      <c r="S52" s="110"/>
      <c r="T52" s="110"/>
      <c r="U52" s="110"/>
      <c r="V52" s="96"/>
      <c r="X52" s="98"/>
      <c r="Y52" s="98"/>
      <c r="Z52" s="98"/>
      <c r="AA52" s="98"/>
      <c r="AB52" s="98"/>
      <c r="AC52" s="98"/>
      <c r="AD52" s="98"/>
      <c r="AE52" s="98"/>
      <c r="AF52" s="98"/>
      <c r="AG52" s="98"/>
      <c r="AH52" s="98"/>
    </row>
    <row r="53" spans="2:34" s="97" customFormat="1" ht="16.5" customHeight="1">
      <c r="B53" s="91"/>
      <c r="C53" s="91"/>
      <c r="D53" s="91"/>
      <c r="E53" s="91"/>
      <c r="F53" s="98"/>
      <c r="G53" s="91"/>
      <c r="H53" s="93"/>
      <c r="I53" s="93"/>
      <c r="J53" s="93"/>
      <c r="K53" s="93"/>
      <c r="L53" s="93"/>
      <c r="M53" s="94"/>
      <c r="N53" s="93"/>
      <c r="O53" s="95"/>
      <c r="P53" s="93"/>
      <c r="Q53" s="93"/>
      <c r="R53" s="93"/>
      <c r="S53" s="95"/>
      <c r="T53" s="93"/>
      <c r="U53" s="93"/>
      <c r="V53" s="96"/>
      <c r="X53" s="98"/>
      <c r="Y53" s="98"/>
      <c r="Z53" s="98"/>
      <c r="AA53" s="98"/>
      <c r="AB53" s="98"/>
      <c r="AC53" s="98"/>
      <c r="AD53" s="98"/>
      <c r="AE53" s="98"/>
      <c r="AF53" s="98"/>
      <c r="AG53" s="98"/>
      <c r="AH53" s="98"/>
    </row>
    <row r="54" spans="1:34" s="97" customFormat="1" ht="16.5" customHeight="1">
      <c r="A54" s="87" t="s">
        <v>97</v>
      </c>
      <c r="F54" s="98"/>
      <c r="H54" s="98"/>
      <c r="I54" s="98"/>
      <c r="J54" s="98"/>
      <c r="K54" s="98"/>
      <c r="L54" s="98"/>
      <c r="M54" s="106"/>
      <c r="N54" s="98"/>
      <c r="O54" s="124"/>
      <c r="P54" s="98"/>
      <c r="Q54" s="98"/>
      <c r="R54" s="98"/>
      <c r="S54" s="124"/>
      <c r="T54" s="124"/>
      <c r="U54" s="124"/>
      <c r="V54" s="96"/>
      <c r="X54" s="98"/>
      <c r="Y54" s="98"/>
      <c r="Z54" s="98"/>
      <c r="AA54" s="98"/>
      <c r="AB54" s="98"/>
      <c r="AC54" s="98"/>
      <c r="AD54" s="98"/>
      <c r="AE54" s="98"/>
      <c r="AF54" s="98"/>
      <c r="AG54" s="98"/>
      <c r="AH54" s="98"/>
    </row>
    <row r="55" spans="2:34" s="97" customFormat="1" ht="16.5" customHeight="1">
      <c r="B55" s="108" t="s">
        <v>98</v>
      </c>
      <c r="F55" s="98"/>
      <c r="H55" s="98"/>
      <c r="I55" s="98">
        <f>'[2]CF workings Q2 04'!AB60</f>
        <v>-1279</v>
      </c>
      <c r="J55" s="98"/>
      <c r="K55" s="98">
        <v>-350</v>
      </c>
      <c r="L55" s="98"/>
      <c r="M55" s="106">
        <v>-510</v>
      </c>
      <c r="N55" s="98"/>
      <c r="O55" s="124">
        <v>-1819</v>
      </c>
      <c r="P55" s="98"/>
      <c r="Q55" s="98">
        <f>+O55/4</f>
        <v>-454.75</v>
      </c>
      <c r="R55" s="98"/>
      <c r="S55" s="124">
        <v>-1818555</v>
      </c>
      <c r="T55" s="124"/>
      <c r="U55" s="124">
        <v>-5754</v>
      </c>
      <c r="V55" s="96"/>
      <c r="W55" s="97">
        <f>+U55/4</f>
        <v>-1438.5</v>
      </c>
      <c r="X55" s="98"/>
      <c r="Y55" s="98"/>
      <c r="Z55" s="98"/>
      <c r="AA55" s="98"/>
      <c r="AB55" s="98"/>
      <c r="AC55" s="98"/>
      <c r="AD55" s="98"/>
      <c r="AE55" s="98"/>
      <c r="AF55" s="98"/>
      <c r="AG55" s="98"/>
      <c r="AH55" s="98"/>
    </row>
    <row r="56" spans="2:34" s="97" customFormat="1" ht="16.5" customHeight="1">
      <c r="B56" s="97" t="s">
        <v>99</v>
      </c>
      <c r="F56" s="98"/>
      <c r="H56" s="98"/>
      <c r="I56" s="98">
        <v>-1401</v>
      </c>
      <c r="J56" s="98"/>
      <c r="K56" s="98">
        <f>-10623+300</f>
        <v>-10323</v>
      </c>
      <c r="L56" s="98"/>
      <c r="M56" s="106">
        <f>-2228-4185+3378</f>
        <v>-3035</v>
      </c>
      <c r="N56" s="98"/>
      <c r="O56" s="124">
        <v>-9319</v>
      </c>
      <c r="P56" s="98"/>
      <c r="Q56" s="98">
        <f>+O56/4</f>
        <v>-2329.75</v>
      </c>
      <c r="R56" s="98"/>
      <c r="S56" s="124">
        <v>-9319147</v>
      </c>
      <c r="T56" s="124"/>
      <c r="U56" s="124">
        <v>-11051</v>
      </c>
      <c r="V56" s="96"/>
      <c r="W56" s="97">
        <f>+U56/4</f>
        <v>-2762.75</v>
      </c>
      <c r="X56" s="98"/>
      <c r="Y56" s="98"/>
      <c r="Z56" s="98"/>
      <c r="AA56" s="98"/>
      <c r="AB56" s="98"/>
      <c r="AC56" s="98"/>
      <c r="AD56" s="98"/>
      <c r="AE56" s="98"/>
      <c r="AF56" s="98"/>
      <c r="AG56" s="98"/>
      <c r="AH56" s="98"/>
    </row>
    <row r="57" spans="2:34" s="97" customFormat="1" ht="16.5" customHeight="1">
      <c r="B57" s="97" t="s">
        <v>153</v>
      </c>
      <c r="F57" s="98"/>
      <c r="H57" s="98"/>
      <c r="I57" s="98">
        <f>-5610</f>
        <v>-5610</v>
      </c>
      <c r="J57" s="98"/>
      <c r="K57" s="98"/>
      <c r="L57" s="98"/>
      <c r="M57" s="106"/>
      <c r="N57" s="98"/>
      <c r="O57" s="124"/>
      <c r="P57" s="98"/>
      <c r="Q57" s="98"/>
      <c r="R57" s="98"/>
      <c r="S57" s="124"/>
      <c r="T57" s="124"/>
      <c r="U57" s="124"/>
      <c r="V57" s="96"/>
      <c r="X57" s="98"/>
      <c r="Y57" s="98"/>
      <c r="Z57" s="98"/>
      <c r="AA57" s="98"/>
      <c r="AB57" s="98"/>
      <c r="AC57" s="98"/>
      <c r="AD57" s="98"/>
      <c r="AE57" s="98"/>
      <c r="AF57" s="98"/>
      <c r="AG57" s="98"/>
      <c r="AH57" s="98"/>
    </row>
    <row r="58" spans="2:34" s="97" customFormat="1" ht="16.5" customHeight="1">
      <c r="B58" s="125" t="s">
        <v>123</v>
      </c>
      <c r="F58" s="98"/>
      <c r="H58" s="98"/>
      <c r="I58" s="98">
        <f>'[2]CF workings Q2 04'!AB9+'[2]CF workings Q2 04'!AB10</f>
        <v>4691.4237299999895</v>
      </c>
      <c r="J58" s="98"/>
      <c r="K58" s="98">
        <v>0</v>
      </c>
      <c r="L58" s="98"/>
      <c r="M58" s="106"/>
      <c r="N58" s="98"/>
      <c r="O58" s="124"/>
      <c r="P58" s="98"/>
      <c r="Q58" s="98"/>
      <c r="R58" s="98"/>
      <c r="S58" s="124"/>
      <c r="T58" s="124"/>
      <c r="U58" s="124"/>
      <c r="V58" s="96"/>
      <c r="X58" s="98"/>
      <c r="Y58" s="98"/>
      <c r="Z58" s="98"/>
      <c r="AA58" s="98"/>
      <c r="AB58" s="98"/>
      <c r="AC58" s="98"/>
      <c r="AD58" s="98"/>
      <c r="AE58" s="98"/>
      <c r="AF58" s="98"/>
      <c r="AG58" s="98"/>
      <c r="AH58" s="98"/>
    </row>
    <row r="59" spans="2:34" s="97" customFormat="1" ht="16.5" customHeight="1">
      <c r="B59" s="97" t="s">
        <v>100</v>
      </c>
      <c r="F59" s="98"/>
      <c r="H59" s="98"/>
      <c r="I59" s="115">
        <v>-8</v>
      </c>
      <c r="J59" s="98"/>
      <c r="K59" s="115">
        <v>-300</v>
      </c>
      <c r="L59" s="98"/>
      <c r="M59" s="119">
        <v>-200</v>
      </c>
      <c r="N59" s="98"/>
      <c r="O59" s="124">
        <v>-5896</v>
      </c>
      <c r="P59" s="98"/>
      <c r="Q59" s="98">
        <f>+O59/4</f>
        <v>-1474</v>
      </c>
      <c r="R59" s="98"/>
      <c r="S59" s="124">
        <v>-5895762</v>
      </c>
      <c r="T59" s="124"/>
      <c r="U59" s="124">
        <v>-619</v>
      </c>
      <c r="V59" s="96"/>
      <c r="W59" s="97">
        <f>+U59/4</f>
        <v>-154.75</v>
      </c>
      <c r="X59" s="98"/>
      <c r="Y59" s="98"/>
      <c r="Z59" s="98"/>
      <c r="AA59" s="98"/>
      <c r="AB59" s="98"/>
      <c r="AC59" s="98"/>
      <c r="AD59" s="98"/>
      <c r="AE59" s="98"/>
      <c r="AF59" s="98"/>
      <c r="AG59" s="98"/>
      <c r="AH59" s="98"/>
    </row>
    <row r="60" spans="13:34" s="97" customFormat="1" ht="16.5" customHeight="1">
      <c r="M60" s="111"/>
      <c r="V60" s="96"/>
      <c r="X60" s="98"/>
      <c r="Y60" s="98"/>
      <c r="Z60" s="98"/>
      <c r="AA60" s="98"/>
      <c r="AB60" s="98"/>
      <c r="AC60" s="98"/>
      <c r="AD60" s="98"/>
      <c r="AE60" s="98"/>
      <c r="AF60" s="98"/>
      <c r="AG60" s="98"/>
      <c r="AH60" s="98"/>
    </row>
    <row r="61" spans="2:34" s="97" customFormat="1" ht="16.5" customHeight="1">
      <c r="B61" s="97" t="s">
        <v>102</v>
      </c>
      <c r="F61" s="98"/>
      <c r="H61" s="98"/>
      <c r="I61" s="123">
        <f>SUM(I55:I60)</f>
        <v>-3606.5762700000105</v>
      </c>
      <c r="J61" s="98"/>
      <c r="K61" s="123">
        <f>SUM(K55:K60)</f>
        <v>-10973</v>
      </c>
      <c r="L61" s="124"/>
      <c r="M61" s="126">
        <f>SUM(M55:M60)</f>
        <v>-3745</v>
      </c>
      <c r="N61" s="124"/>
      <c r="O61" s="123">
        <f>SUM(O55:O60)</f>
        <v>-17034</v>
      </c>
      <c r="P61" s="98"/>
      <c r="Q61" s="123">
        <f>SUM(Q55:Q60)</f>
        <v>-4258.5</v>
      </c>
      <c r="R61" s="98"/>
      <c r="S61" s="123">
        <f>SUM(S55:S60)</f>
        <v>-17033464</v>
      </c>
      <c r="T61" s="124"/>
      <c r="U61" s="123">
        <f>SUM(U55:U60)</f>
        <v>-17424</v>
      </c>
      <c r="V61" s="96"/>
      <c r="W61" s="123">
        <f>SUM(W55:W60)</f>
        <v>-4356</v>
      </c>
      <c r="X61" s="98"/>
      <c r="Y61" s="98"/>
      <c r="Z61" s="98"/>
      <c r="AA61" s="98"/>
      <c r="AB61" s="98"/>
      <c r="AC61" s="98"/>
      <c r="AD61" s="98"/>
      <c r="AE61" s="98"/>
      <c r="AF61" s="98"/>
      <c r="AG61" s="98"/>
      <c r="AH61" s="98"/>
    </row>
    <row r="62" spans="6:34" s="97" customFormat="1" ht="16.5" customHeight="1">
      <c r="F62" s="98"/>
      <c r="H62" s="98"/>
      <c r="I62" s="98"/>
      <c r="J62" s="98"/>
      <c r="K62" s="98"/>
      <c r="L62" s="98"/>
      <c r="M62" s="106"/>
      <c r="N62" s="98"/>
      <c r="O62" s="124"/>
      <c r="P62" s="98"/>
      <c r="Q62" s="98"/>
      <c r="R62" s="98"/>
      <c r="S62" s="124"/>
      <c r="T62" s="124"/>
      <c r="U62" s="124"/>
      <c r="V62" s="96"/>
      <c r="X62" s="98"/>
      <c r="Y62" s="98"/>
      <c r="Z62" s="98"/>
      <c r="AA62" s="98"/>
      <c r="AB62" s="98"/>
      <c r="AC62" s="98"/>
      <c r="AD62" s="98"/>
      <c r="AE62" s="98"/>
      <c r="AF62" s="98"/>
      <c r="AG62" s="98"/>
      <c r="AH62" s="98"/>
    </row>
    <row r="63" spans="6:34" s="97" customFormat="1" ht="15">
      <c r="F63" s="98"/>
      <c r="H63" s="98"/>
      <c r="I63" s="98"/>
      <c r="J63" s="98"/>
      <c r="K63" s="98"/>
      <c r="L63" s="98"/>
      <c r="M63" s="106"/>
      <c r="N63" s="98"/>
      <c r="O63" s="124"/>
      <c r="P63" s="98"/>
      <c r="Q63" s="98"/>
      <c r="R63" s="98"/>
      <c r="S63" s="124"/>
      <c r="T63" s="124"/>
      <c r="U63" s="124"/>
      <c r="V63" s="96"/>
      <c r="X63" s="98"/>
      <c r="Y63" s="98"/>
      <c r="Z63" s="98"/>
      <c r="AA63" s="98"/>
      <c r="AB63" s="98"/>
      <c r="AC63" s="98"/>
      <c r="AD63" s="98"/>
      <c r="AE63" s="98"/>
      <c r="AF63" s="98"/>
      <c r="AG63" s="98"/>
      <c r="AH63" s="98"/>
    </row>
    <row r="64" spans="1:34" s="97" customFormat="1" ht="16.5" customHeight="1">
      <c r="A64" s="107" t="s">
        <v>103</v>
      </c>
      <c r="F64" s="98"/>
      <c r="H64" s="98"/>
      <c r="I64" s="124">
        <f>I41+I51+I61</f>
        <v>719.4546769999924</v>
      </c>
      <c r="J64" s="98"/>
      <c r="K64" s="124">
        <f>K41+K51+K61</f>
        <v>4464</v>
      </c>
      <c r="L64" s="124"/>
      <c r="M64" s="127">
        <f>M41+M51+M61</f>
        <v>6888</v>
      </c>
      <c r="N64" s="124"/>
      <c r="O64" s="124">
        <f>O41+O51+O61</f>
        <v>5098</v>
      </c>
      <c r="P64" s="98"/>
      <c r="Q64" s="124">
        <f>Q41+Q51+Q61</f>
        <v>2608</v>
      </c>
      <c r="R64" s="98"/>
      <c r="S64" s="124">
        <f>S41+S51+S61</f>
        <v>5097334</v>
      </c>
      <c r="T64" s="124"/>
      <c r="U64" s="124">
        <f>U41+U51+U61</f>
        <v>-12389</v>
      </c>
      <c r="V64" s="96"/>
      <c r="W64" s="124">
        <f>W41+W51+W61</f>
        <v>-6624</v>
      </c>
      <c r="X64" s="98"/>
      <c r="Y64" s="98"/>
      <c r="Z64" s="98"/>
      <c r="AA64" s="98"/>
      <c r="AB64" s="98"/>
      <c r="AC64" s="98"/>
      <c r="AD64" s="98"/>
      <c r="AE64" s="98"/>
      <c r="AF64" s="98"/>
      <c r="AG64" s="98"/>
      <c r="AH64" s="98"/>
    </row>
    <row r="65" spans="2:34" s="97" customFormat="1" ht="16.5" customHeight="1">
      <c r="B65" s="97" t="s">
        <v>107</v>
      </c>
      <c r="F65" s="98"/>
      <c r="H65" s="98"/>
      <c r="I65" s="115">
        <v>-361</v>
      </c>
      <c r="J65" s="98"/>
      <c r="K65" s="123">
        <f>6331-11950</f>
        <v>-5619</v>
      </c>
      <c r="L65" s="124"/>
      <c r="M65" s="126">
        <v>-8835</v>
      </c>
      <c r="N65" s="124"/>
      <c r="O65" s="123">
        <v>-8835</v>
      </c>
      <c r="P65" s="98"/>
      <c r="Q65" s="123">
        <v>-8835</v>
      </c>
      <c r="R65" s="98"/>
      <c r="S65" s="123">
        <v>-8834644</v>
      </c>
      <c r="T65" s="124"/>
      <c r="U65" s="123">
        <v>-11885</v>
      </c>
      <c r="V65" s="96"/>
      <c r="W65" s="115">
        <v>-11885</v>
      </c>
      <c r="X65" s="98"/>
      <c r="Y65" s="98"/>
      <c r="Z65" s="98"/>
      <c r="AA65" s="98"/>
      <c r="AB65" s="98"/>
      <c r="AC65" s="98"/>
      <c r="AD65" s="98"/>
      <c r="AE65" s="98"/>
      <c r="AF65" s="98"/>
      <c r="AG65" s="98"/>
      <c r="AH65" s="98"/>
    </row>
    <row r="66" spans="6:34" s="97" customFormat="1" ht="16.5" customHeight="1">
      <c r="F66" s="98"/>
      <c r="H66" s="98"/>
      <c r="I66" s="98"/>
      <c r="J66" s="98"/>
      <c r="K66" s="98"/>
      <c r="L66" s="98"/>
      <c r="M66" s="106"/>
      <c r="N66" s="98"/>
      <c r="O66" s="124"/>
      <c r="P66" s="98"/>
      <c r="Q66" s="98"/>
      <c r="R66" s="98"/>
      <c r="S66" s="124"/>
      <c r="T66" s="124"/>
      <c r="U66" s="124"/>
      <c r="V66" s="96"/>
      <c r="X66" s="98"/>
      <c r="Y66" s="98"/>
      <c r="Z66" s="98"/>
      <c r="AA66" s="98"/>
      <c r="AB66" s="98"/>
      <c r="AC66" s="98"/>
      <c r="AD66" s="98"/>
      <c r="AE66" s="98"/>
      <c r="AF66" s="98"/>
      <c r="AG66" s="98"/>
      <c r="AH66" s="98"/>
    </row>
    <row r="67" spans="1:34" s="97" customFormat="1" ht="16.5" customHeight="1">
      <c r="A67" s="107" t="s">
        <v>104</v>
      </c>
      <c r="F67" s="98"/>
      <c r="H67" s="98"/>
      <c r="I67" s="98"/>
      <c r="J67" s="98"/>
      <c r="K67" s="98"/>
      <c r="L67" s="98"/>
      <c r="M67" s="106"/>
      <c r="N67" s="98"/>
      <c r="O67" s="124"/>
      <c r="P67" s="98"/>
      <c r="Q67" s="98"/>
      <c r="R67" s="98"/>
      <c r="S67" s="124"/>
      <c r="T67" s="124"/>
      <c r="U67" s="124"/>
      <c r="V67" s="96"/>
      <c r="X67" s="98"/>
      <c r="Y67" s="98"/>
      <c r="Z67" s="98"/>
      <c r="AA67" s="98"/>
      <c r="AB67" s="98"/>
      <c r="AC67" s="98"/>
      <c r="AD67" s="98"/>
      <c r="AE67" s="98"/>
      <c r="AF67" s="98"/>
      <c r="AG67" s="98"/>
      <c r="AH67" s="98"/>
    </row>
    <row r="68" spans="1:34" s="97" customFormat="1" ht="16.5" customHeight="1" thickBot="1">
      <c r="A68" s="107" t="s">
        <v>108</v>
      </c>
      <c r="B68" s="108"/>
      <c r="F68" s="98"/>
      <c r="H68" s="98"/>
      <c r="I68" s="128">
        <f>SUM(I64:I67)</f>
        <v>358.45467699999244</v>
      </c>
      <c r="J68" s="98"/>
      <c r="K68" s="128">
        <f>SUM(K64:K67)</f>
        <v>-1155</v>
      </c>
      <c r="L68" s="124"/>
      <c r="M68" s="129">
        <f>SUM(M64:M67)</f>
        <v>-1947</v>
      </c>
      <c r="N68" s="124"/>
      <c r="O68" s="128">
        <f>SUM(O64:O67)</f>
        <v>-3737</v>
      </c>
      <c r="P68" s="98"/>
      <c r="Q68" s="128">
        <f>SUM(Q64:Q67)</f>
        <v>-6227</v>
      </c>
      <c r="R68" s="98"/>
      <c r="S68" s="130">
        <f>SUM(S64:S67)</f>
        <v>-3737310</v>
      </c>
      <c r="T68" s="124"/>
      <c r="U68" s="128">
        <f>SUM(U64:U67)</f>
        <v>-24274</v>
      </c>
      <c r="V68" s="96"/>
      <c r="W68" s="128">
        <f>SUM(W64:W67)</f>
        <v>-18509</v>
      </c>
      <c r="X68" s="98"/>
      <c r="Y68" s="98"/>
      <c r="Z68" s="98"/>
      <c r="AA68" s="98"/>
      <c r="AB68" s="98"/>
      <c r="AC68" s="98"/>
      <c r="AD68" s="98"/>
      <c r="AE68" s="98"/>
      <c r="AF68" s="98"/>
      <c r="AG68" s="98"/>
      <c r="AH68" s="98"/>
    </row>
    <row r="69" spans="1:34" s="97" customFormat="1" ht="16.5" customHeight="1">
      <c r="A69" s="107"/>
      <c r="B69" s="108"/>
      <c r="F69" s="98"/>
      <c r="H69" s="98"/>
      <c r="I69" s="98"/>
      <c r="J69" s="98"/>
      <c r="K69" s="98"/>
      <c r="L69" s="98"/>
      <c r="M69" s="127"/>
      <c r="N69" s="124"/>
      <c r="O69" s="124"/>
      <c r="P69" s="98"/>
      <c r="Q69" s="124"/>
      <c r="R69" s="98"/>
      <c r="S69" s="124"/>
      <c r="T69" s="124"/>
      <c r="U69" s="124"/>
      <c r="V69" s="96"/>
      <c r="W69" s="124"/>
      <c r="X69" s="98"/>
      <c r="Y69" s="98"/>
      <c r="Z69" s="98"/>
      <c r="AA69" s="98"/>
      <c r="AB69" s="98"/>
      <c r="AC69" s="98"/>
      <c r="AD69" s="98"/>
      <c r="AE69" s="98"/>
      <c r="AF69" s="98"/>
      <c r="AG69" s="98"/>
      <c r="AH69" s="98"/>
    </row>
    <row r="70" spans="1:34" s="97" customFormat="1" ht="16.5" customHeight="1">
      <c r="A70" s="107" t="s">
        <v>104</v>
      </c>
      <c r="F70" s="98"/>
      <c r="H70" s="98"/>
      <c r="I70" s="98"/>
      <c r="J70" s="98"/>
      <c r="K70" s="98"/>
      <c r="L70" s="98"/>
      <c r="M70" s="127"/>
      <c r="N70" s="124"/>
      <c r="O70" s="124"/>
      <c r="P70" s="98"/>
      <c r="Q70" s="124"/>
      <c r="R70" s="98"/>
      <c r="S70" s="124"/>
      <c r="T70" s="124"/>
      <c r="U70" s="124"/>
      <c r="V70" s="96"/>
      <c r="W70" s="124"/>
      <c r="X70" s="98"/>
      <c r="Y70" s="98"/>
      <c r="Z70" s="98"/>
      <c r="AA70" s="98"/>
      <c r="AB70" s="98"/>
      <c r="AC70" s="98"/>
      <c r="AD70" s="98"/>
      <c r="AE70" s="98"/>
      <c r="AF70" s="98"/>
      <c r="AG70" s="98"/>
      <c r="AH70" s="98"/>
    </row>
    <row r="71" spans="1:34" s="97" customFormat="1" ht="16.5" customHeight="1">
      <c r="A71" s="107" t="s">
        <v>109</v>
      </c>
      <c r="B71" s="108"/>
      <c r="F71" s="98"/>
      <c r="H71" s="98"/>
      <c r="I71" s="98"/>
      <c r="J71" s="98"/>
      <c r="K71" s="98"/>
      <c r="L71" s="98"/>
      <c r="M71" s="127"/>
      <c r="N71" s="124"/>
      <c r="O71" s="124"/>
      <c r="P71" s="98"/>
      <c r="Q71" s="124"/>
      <c r="R71" s="98"/>
      <c r="S71" s="124"/>
      <c r="T71" s="124"/>
      <c r="U71" s="124"/>
      <c r="V71" s="96"/>
      <c r="W71" s="124"/>
      <c r="X71" s="98"/>
      <c r="Y71" s="98"/>
      <c r="Z71" s="98"/>
      <c r="AA71" s="98"/>
      <c r="AB71" s="98"/>
      <c r="AC71" s="98"/>
      <c r="AD71" s="98"/>
      <c r="AE71" s="98"/>
      <c r="AF71" s="98"/>
      <c r="AG71" s="98"/>
      <c r="AH71" s="98"/>
    </row>
    <row r="72" spans="1:34" s="97" customFormat="1" ht="16.5" customHeight="1">
      <c r="A72" s="107"/>
      <c r="B72" s="108"/>
      <c r="F72" s="98"/>
      <c r="H72" s="98"/>
      <c r="I72" s="98"/>
      <c r="J72" s="98"/>
      <c r="K72" s="98"/>
      <c r="L72" s="98"/>
      <c r="M72" s="127"/>
      <c r="N72" s="124"/>
      <c r="O72" s="124"/>
      <c r="P72" s="98"/>
      <c r="Q72" s="124"/>
      <c r="R72" s="98"/>
      <c r="S72" s="124"/>
      <c r="T72" s="124"/>
      <c r="U72" s="124"/>
      <c r="V72" s="96"/>
      <c r="W72" s="124"/>
      <c r="X72" s="98"/>
      <c r="Y72" s="98"/>
      <c r="Z72" s="98"/>
      <c r="AA72" s="98"/>
      <c r="AB72" s="98"/>
      <c r="AC72" s="98"/>
      <c r="AD72" s="98"/>
      <c r="AE72" s="98"/>
      <c r="AF72" s="98"/>
      <c r="AG72" s="98"/>
      <c r="AH72" s="98"/>
    </row>
    <row r="73" spans="1:34" s="97" customFormat="1" ht="16.5" customHeight="1">
      <c r="A73" s="107"/>
      <c r="B73" s="122" t="s">
        <v>154</v>
      </c>
      <c r="F73" s="98"/>
      <c r="H73" s="98"/>
      <c r="I73" s="98">
        <f>'[2]CF workings Q2 04'!AC46+'[2]CF workings Q2 04'!AC47</f>
        <v>4048.3526800000004</v>
      </c>
      <c r="J73" s="98"/>
      <c r="K73" s="98">
        <v>9878</v>
      </c>
      <c r="L73" s="98"/>
      <c r="M73" s="127">
        <v>10090</v>
      </c>
      <c r="N73" s="124"/>
      <c r="O73" s="124"/>
      <c r="P73" s="98"/>
      <c r="Q73" s="124">
        <v>7739</v>
      </c>
      <c r="R73" s="98"/>
      <c r="S73" s="124"/>
      <c r="T73" s="124"/>
      <c r="U73" s="124"/>
      <c r="V73" s="96"/>
      <c r="W73" s="124"/>
      <c r="X73" s="98"/>
      <c r="Y73" s="98"/>
      <c r="Z73" s="98"/>
      <c r="AA73" s="98"/>
      <c r="AB73" s="98"/>
      <c r="AC73" s="98"/>
      <c r="AD73" s="98"/>
      <c r="AE73" s="98"/>
      <c r="AF73" s="98"/>
      <c r="AG73" s="98"/>
      <c r="AH73" s="98"/>
    </row>
    <row r="74" spans="1:34" s="97" customFormat="1" ht="16.5" customHeight="1">
      <c r="A74" s="107"/>
      <c r="B74" s="122" t="s">
        <v>111</v>
      </c>
      <c r="F74" s="98"/>
      <c r="H74" s="98"/>
      <c r="I74" s="98">
        <f>'[2]CF workings Q2 04'!AC61</f>
        <v>-3690.2896299999993</v>
      </c>
      <c r="J74" s="98"/>
      <c r="K74" s="98">
        <v>-11033</v>
      </c>
      <c r="L74" s="98"/>
      <c r="M74" s="127">
        <v>-12037</v>
      </c>
      <c r="N74" s="124"/>
      <c r="O74" s="124"/>
      <c r="P74" s="98"/>
      <c r="Q74" s="124">
        <v>-11688</v>
      </c>
      <c r="R74" s="98"/>
      <c r="S74" s="124"/>
      <c r="T74" s="124"/>
      <c r="U74" s="124"/>
      <c r="V74" s="96"/>
      <c r="W74" s="124"/>
      <c r="X74" s="98">
        <v>12037</v>
      </c>
      <c r="Y74" s="98">
        <f>+X74+M74</f>
        <v>0</v>
      </c>
      <c r="Z74" s="98"/>
      <c r="AA74" s="98"/>
      <c r="AB74" s="98"/>
      <c r="AC74" s="98"/>
      <c r="AD74" s="98"/>
      <c r="AE74" s="98"/>
      <c r="AF74" s="98"/>
      <c r="AG74" s="98"/>
      <c r="AH74" s="98"/>
    </row>
    <row r="75" spans="1:34" s="97" customFormat="1" ht="16.5" customHeight="1" thickBot="1">
      <c r="A75" s="107"/>
      <c r="B75" s="108"/>
      <c r="F75" s="98"/>
      <c r="H75" s="98"/>
      <c r="I75" s="131">
        <f>SUM(I73:I74)</f>
        <v>358.0630500000011</v>
      </c>
      <c r="J75" s="98"/>
      <c r="K75" s="131">
        <f>SUM(K73:K74)</f>
        <v>-1155</v>
      </c>
      <c r="L75" s="98"/>
      <c r="M75" s="132">
        <f>+M73+M74</f>
        <v>-1947</v>
      </c>
      <c r="N75" s="124"/>
      <c r="O75" s="124"/>
      <c r="P75" s="98"/>
      <c r="Q75" s="133">
        <f>SUM(Q73:Q74)</f>
        <v>-3949</v>
      </c>
      <c r="R75" s="98"/>
      <c r="S75" s="124"/>
      <c r="T75" s="124"/>
      <c r="U75" s="124"/>
      <c r="V75" s="96"/>
      <c r="W75" s="124"/>
      <c r="X75" s="98"/>
      <c r="Y75" s="98"/>
      <c r="Z75" s="98"/>
      <c r="AA75" s="98"/>
      <c r="AB75" s="98"/>
      <c r="AC75" s="98"/>
      <c r="AD75" s="98"/>
      <c r="AE75" s="98"/>
      <c r="AF75" s="98"/>
      <c r="AG75" s="98"/>
      <c r="AH75" s="98"/>
    </row>
    <row r="76" spans="1:34" s="97" customFormat="1" ht="16.5" customHeight="1">
      <c r="A76" s="107"/>
      <c r="B76" s="108"/>
      <c r="F76" s="98"/>
      <c r="H76" s="98"/>
      <c r="I76" s="98"/>
      <c r="J76" s="98"/>
      <c r="K76" s="98"/>
      <c r="L76" s="98"/>
      <c r="M76" s="127"/>
      <c r="N76" s="124"/>
      <c r="O76" s="124"/>
      <c r="P76" s="98"/>
      <c r="Q76" s="124"/>
      <c r="R76" s="98"/>
      <c r="S76" s="124"/>
      <c r="T76" s="124"/>
      <c r="U76" s="124"/>
      <c r="V76" s="96"/>
      <c r="W76" s="124"/>
      <c r="X76" s="98"/>
      <c r="Y76" s="98"/>
      <c r="Z76" s="98"/>
      <c r="AA76" s="98"/>
      <c r="AB76" s="98"/>
      <c r="AC76" s="98"/>
      <c r="AD76" s="98"/>
      <c r="AE76" s="98"/>
      <c r="AF76" s="98"/>
      <c r="AG76" s="98"/>
      <c r="AH76" s="98"/>
    </row>
    <row r="77" spans="1:34" s="97" customFormat="1" ht="16.5" customHeight="1">
      <c r="A77" s="107"/>
      <c r="B77" s="108"/>
      <c r="F77" s="98"/>
      <c r="H77" s="98"/>
      <c r="I77" s="147">
        <f>+I68-I75</f>
        <v>0.3916269999913311</v>
      </c>
      <c r="J77" s="98"/>
      <c r="K77" s="98">
        <f>+K68-K75</f>
        <v>0</v>
      </c>
      <c r="L77" s="98"/>
      <c r="M77" s="127">
        <f>+M68-M75</f>
        <v>0</v>
      </c>
      <c r="N77" s="124"/>
      <c r="O77" s="124"/>
      <c r="P77" s="98"/>
      <c r="Q77" s="124"/>
      <c r="R77" s="98"/>
      <c r="S77" s="124"/>
      <c r="T77" s="124"/>
      <c r="U77" s="124"/>
      <c r="V77" s="96"/>
      <c r="W77" s="124"/>
      <c r="X77" s="98"/>
      <c r="Y77" s="98"/>
      <c r="Z77" s="98"/>
      <c r="AA77" s="98"/>
      <c r="AB77" s="98"/>
      <c r="AC77" s="98"/>
      <c r="AD77" s="98"/>
      <c r="AE77" s="98"/>
      <c r="AF77" s="98"/>
      <c r="AG77" s="98"/>
      <c r="AH77" s="98"/>
    </row>
    <row r="78" spans="6:34" s="97" customFormat="1" ht="16.5" customHeight="1">
      <c r="F78" s="98"/>
      <c r="H78" s="98"/>
      <c r="I78" s="106"/>
      <c r="J78" s="98"/>
      <c r="K78" s="98"/>
      <c r="L78" s="98"/>
      <c r="M78" s="106"/>
      <c r="N78" s="98"/>
      <c r="P78" s="98"/>
      <c r="Q78" s="98"/>
      <c r="R78" s="98"/>
      <c r="T78" s="98"/>
      <c r="U78" s="98"/>
      <c r="V78" s="96"/>
      <c r="X78" s="98"/>
      <c r="Y78" s="98"/>
      <c r="Z78" s="98"/>
      <c r="AA78" s="98"/>
      <c r="AB78" s="98"/>
      <c r="AC78" s="98"/>
      <c r="AD78" s="98"/>
      <c r="AE78" s="98"/>
      <c r="AF78" s="98"/>
      <c r="AG78" s="98"/>
      <c r="AH78" s="98"/>
    </row>
    <row r="79" spans="6:34" s="97" customFormat="1" ht="16.5" customHeight="1">
      <c r="F79" s="98"/>
      <c r="H79" s="98"/>
      <c r="I79" s="106">
        <f>+I91</f>
        <v>0</v>
      </c>
      <c r="J79" s="98"/>
      <c r="K79" s="98"/>
      <c r="L79" s="98"/>
      <c r="M79" s="106">
        <f>+M91</f>
        <v>-4204</v>
      </c>
      <c r="N79" s="98"/>
      <c r="P79" s="98"/>
      <c r="Q79" s="98">
        <f>+Q91</f>
        <v>-3949</v>
      </c>
      <c r="R79" s="98"/>
      <c r="T79" s="98"/>
      <c r="U79" s="98"/>
      <c r="V79" s="96"/>
      <c r="X79" s="98"/>
      <c r="Y79" s="98"/>
      <c r="Z79" s="98"/>
      <c r="AA79" s="98"/>
      <c r="AB79" s="98"/>
      <c r="AC79" s="98"/>
      <c r="AD79" s="98"/>
      <c r="AE79" s="98"/>
      <c r="AF79" s="98"/>
      <c r="AG79" s="98"/>
      <c r="AH79" s="98"/>
    </row>
    <row r="80" spans="6:34" s="97" customFormat="1" ht="16.5" customHeight="1">
      <c r="F80" s="98"/>
      <c r="H80" s="98"/>
      <c r="I80" s="98"/>
      <c r="J80" s="98"/>
      <c r="K80" s="98"/>
      <c r="L80" s="98"/>
      <c r="M80" s="106"/>
      <c r="N80" s="98"/>
      <c r="P80" s="98"/>
      <c r="Q80" s="98"/>
      <c r="R80" s="98"/>
      <c r="T80" s="98"/>
      <c r="U80" s="98"/>
      <c r="V80" s="96"/>
      <c r="X80" s="98"/>
      <c r="Y80" s="98"/>
      <c r="Z80" s="98"/>
      <c r="AA80" s="98"/>
      <c r="AB80" s="98"/>
      <c r="AC80" s="98"/>
      <c r="AD80" s="98"/>
      <c r="AE80" s="98"/>
      <c r="AF80" s="98"/>
      <c r="AG80" s="98"/>
      <c r="AH80" s="98"/>
    </row>
    <row r="81" spans="6:34" s="97" customFormat="1" ht="16.5" customHeight="1">
      <c r="F81" s="98"/>
      <c r="H81" s="98"/>
      <c r="I81" s="98"/>
      <c r="J81" s="98"/>
      <c r="K81" s="98"/>
      <c r="L81" s="98"/>
      <c r="M81" s="106">
        <f>+M68-M79</f>
        <v>2257</v>
      </c>
      <c r="N81" s="98"/>
      <c r="P81" s="98"/>
      <c r="Q81" s="98">
        <f>+Q68-Q79</f>
        <v>-2278</v>
      </c>
      <c r="R81" s="98"/>
      <c r="T81" s="98"/>
      <c r="U81" s="98"/>
      <c r="V81" s="96"/>
      <c r="X81" s="98"/>
      <c r="Y81" s="98"/>
      <c r="Z81" s="98"/>
      <c r="AA81" s="98"/>
      <c r="AB81" s="98"/>
      <c r="AC81" s="98"/>
      <c r="AD81" s="98"/>
      <c r="AE81" s="98"/>
      <c r="AF81" s="98"/>
      <c r="AG81" s="98"/>
      <c r="AH81" s="98"/>
    </row>
    <row r="82" spans="6:34" s="97" customFormat="1" ht="15">
      <c r="F82" s="98"/>
      <c r="H82" s="98"/>
      <c r="I82" s="98"/>
      <c r="J82" s="98"/>
      <c r="K82" s="98"/>
      <c r="L82" s="98"/>
      <c r="M82" s="106"/>
      <c r="N82" s="98"/>
      <c r="P82" s="98"/>
      <c r="Q82" s="98"/>
      <c r="R82" s="98"/>
      <c r="T82" s="98"/>
      <c r="U82" s="98"/>
      <c r="X82" s="98"/>
      <c r="Y82" s="98"/>
      <c r="Z82" s="98"/>
      <c r="AA82" s="98"/>
      <c r="AB82" s="98"/>
      <c r="AC82" s="98"/>
      <c r="AD82" s="98"/>
      <c r="AE82" s="98"/>
      <c r="AF82" s="98"/>
      <c r="AG82" s="98"/>
      <c r="AH82" s="98"/>
    </row>
    <row r="86" ht="14.25">
      <c r="M86" s="89">
        <v>6990</v>
      </c>
    </row>
    <row r="87" ht="14.25">
      <c r="M87" s="89">
        <v>662</v>
      </c>
    </row>
    <row r="88" ht="14.25">
      <c r="M88" s="89">
        <v>4479</v>
      </c>
    </row>
    <row r="89" spans="8:17" ht="15">
      <c r="H89" s="88" t="s">
        <v>155</v>
      </c>
      <c r="M89" s="134">
        <f>SUM(M86:M88)</f>
        <v>12131</v>
      </c>
      <c r="N89" s="135"/>
      <c r="Q89" s="88">
        <v>11688</v>
      </c>
    </row>
    <row r="90" spans="8:17" ht="15">
      <c r="H90" s="88" t="s">
        <v>156</v>
      </c>
      <c r="M90" s="134">
        <f>8661-734</f>
        <v>7927</v>
      </c>
      <c r="N90" s="135"/>
      <c r="Q90" s="88">
        <f>7739</f>
        <v>7739</v>
      </c>
    </row>
    <row r="91" spans="13:17" ht="14.25">
      <c r="M91" s="89">
        <f>-M89+M90</f>
        <v>-4204</v>
      </c>
      <c r="Q91" s="88">
        <f>-Q89+Q90</f>
        <v>-3949</v>
      </c>
    </row>
    <row r="92" ht="14.25">
      <c r="M92" s="89">
        <v>53</v>
      </c>
    </row>
    <row r="93" ht="14.25">
      <c r="M93" s="89">
        <f>+M91+M92</f>
        <v>-4151</v>
      </c>
    </row>
  </sheetData>
  <printOptions/>
  <pageMargins left="0.75" right="0.75" top="1" bottom="1" header="0.5" footer="0.5"/>
  <pageSetup horizontalDpi="300" verticalDpi="300" orientation="portrait" scale="91" r:id="rId1"/>
  <rowBreaks count="1" manualBreakCount="1">
    <brk id="42" max="10" man="1"/>
  </rowBreaks>
  <colBreaks count="2" manualBreakCount="2">
    <brk id="11" max="74" man="1"/>
    <brk id="13" max="72" man="1"/>
  </colBreaks>
</worksheet>
</file>

<file path=xl/worksheets/sheet7.xml><?xml version="1.0" encoding="utf-8"?>
<worksheet xmlns="http://schemas.openxmlformats.org/spreadsheetml/2006/main" xmlns:r="http://schemas.openxmlformats.org/officeDocument/2006/relationships">
  <dimension ref="A1:I61"/>
  <sheetViews>
    <sheetView workbookViewId="0" topLeftCell="A1">
      <selection activeCell="E14" sqref="E14"/>
    </sheetView>
  </sheetViews>
  <sheetFormatPr defaultColWidth="9.140625" defaultRowHeight="12.75" customHeight="1"/>
  <cols>
    <col min="1" max="1" width="31.28125" style="20" customWidth="1"/>
    <col min="2" max="2" width="12.421875" style="20" customWidth="1"/>
    <col min="3" max="3" width="1.7109375" style="20" customWidth="1"/>
    <col min="4" max="4" width="14.00390625" style="20" customWidth="1"/>
    <col min="5" max="5" width="8.7109375" style="20" bestFit="1" customWidth="1"/>
    <col min="6" max="6" width="1.1484375" style="20" customWidth="1"/>
    <col min="7" max="7" width="9.8515625" style="20" bestFit="1" customWidth="1"/>
    <col min="8" max="8" width="1.1484375" style="20" customWidth="1"/>
    <col min="9" max="16384" width="2.57421875" style="20" customWidth="1"/>
  </cols>
  <sheetData>
    <row r="1" ht="15.75">
      <c r="A1" s="2" t="s">
        <v>9</v>
      </c>
    </row>
    <row r="2" ht="15.75">
      <c r="A2" s="2"/>
    </row>
    <row r="3" ht="15.75">
      <c r="A3" s="2" t="s">
        <v>45</v>
      </c>
    </row>
    <row r="4" ht="15.75">
      <c r="A4" s="2" t="s">
        <v>31</v>
      </c>
    </row>
    <row r="5" spans="1:7" s="23" customFormat="1" ht="12.75" customHeight="1">
      <c r="A5" s="6"/>
      <c r="B5" s="6"/>
      <c r="C5" s="6"/>
      <c r="D5" s="6"/>
      <c r="E5" s="6"/>
      <c r="F5" s="6"/>
      <c r="G5" s="6"/>
    </row>
    <row r="6" spans="2:9" ht="12.75" customHeight="1">
      <c r="B6" s="4">
        <v>2002</v>
      </c>
      <c r="C6" s="4"/>
      <c r="D6" s="4">
        <v>2001</v>
      </c>
      <c r="E6" s="4"/>
      <c r="F6" s="4"/>
      <c r="G6" s="4"/>
      <c r="H6" s="5"/>
      <c r="I6" s="5"/>
    </row>
    <row r="8" spans="2:4" s="5" customFormat="1" ht="12.75" customHeight="1">
      <c r="B8" s="5" t="s">
        <v>46</v>
      </c>
      <c r="D8" s="5" t="s">
        <v>46</v>
      </c>
    </row>
    <row r="9" spans="2:4" s="5" customFormat="1" ht="12.75" customHeight="1">
      <c r="B9" s="5" t="s">
        <v>47</v>
      </c>
      <c r="D9" s="5" t="s">
        <v>47</v>
      </c>
    </row>
    <row r="10" spans="2:4" s="5" customFormat="1" ht="12.75" customHeight="1">
      <c r="B10" s="5" t="s">
        <v>32</v>
      </c>
      <c r="D10" s="5" t="s">
        <v>32</v>
      </c>
    </row>
    <row r="12" spans="1:4" ht="12.75" customHeight="1">
      <c r="A12" s="20" t="s">
        <v>48</v>
      </c>
      <c r="B12" s="28">
        <v>0</v>
      </c>
      <c r="C12" s="28"/>
      <c r="D12" s="28">
        <v>0</v>
      </c>
    </row>
    <row r="13" spans="1:4" ht="12.75" customHeight="1">
      <c r="A13" s="20" t="s">
        <v>49</v>
      </c>
      <c r="B13" s="28">
        <v>0</v>
      </c>
      <c r="C13" s="28"/>
      <c r="D13" s="28">
        <v>0</v>
      </c>
    </row>
    <row r="14" spans="2:4" ht="12.75" customHeight="1">
      <c r="B14" s="28"/>
      <c r="C14" s="28"/>
      <c r="D14" s="28"/>
    </row>
    <row r="15" spans="1:4" ht="12.75" customHeight="1">
      <c r="A15" s="20" t="s">
        <v>50</v>
      </c>
      <c r="B15" s="28">
        <v>0</v>
      </c>
      <c r="C15" s="28"/>
      <c r="D15" s="28">
        <v>0</v>
      </c>
    </row>
    <row r="16" spans="2:4" ht="12.75" customHeight="1">
      <c r="B16" s="28"/>
      <c r="C16" s="28"/>
      <c r="D16" s="28"/>
    </row>
    <row r="17" spans="1:4" ht="12.75" customHeight="1">
      <c r="A17" s="20" t="s">
        <v>51</v>
      </c>
      <c r="B17" s="28">
        <v>0</v>
      </c>
      <c r="C17" s="28"/>
      <c r="D17" s="28">
        <v>0</v>
      </c>
    </row>
    <row r="18" spans="2:4" ht="12.75" customHeight="1">
      <c r="B18" s="28"/>
      <c r="C18" s="28"/>
      <c r="D18" s="28"/>
    </row>
    <row r="19" spans="1:4" ht="12.75" customHeight="1">
      <c r="A19" s="20" t="s">
        <v>52</v>
      </c>
      <c r="B19" s="28">
        <v>0</v>
      </c>
      <c r="C19" s="28"/>
      <c r="D19" s="28">
        <v>0</v>
      </c>
    </row>
    <row r="20" spans="2:4" ht="12.75" customHeight="1">
      <c r="B20" s="28"/>
      <c r="C20" s="28"/>
      <c r="D20" s="28"/>
    </row>
    <row r="22" s="15" customFormat="1" ht="12.75">
      <c r="A22" s="15" t="s">
        <v>56</v>
      </c>
    </row>
    <row r="23" s="15" customFormat="1" ht="12.75">
      <c r="A23" s="15" t="s">
        <v>55</v>
      </c>
    </row>
    <row r="60" spans="5:7" ht="12.75" customHeight="1">
      <c r="E60" s="21"/>
      <c r="F60" s="21"/>
      <c r="G60" s="21"/>
    </row>
    <row r="61" spans="5:7" ht="12.75" customHeight="1">
      <c r="E61" s="21"/>
      <c r="F61" s="21"/>
      <c r="G61" s="21"/>
    </row>
  </sheetData>
  <printOptions horizontalCentered="1"/>
  <pageMargins left="0.5" right="0.5" top="0.5" bottom="0.5"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Magna Prima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Magna Prima Berhad</dc:creator>
  <cp:keywords/>
  <dc:description/>
  <cp:lastModifiedBy>JonMMx 2000</cp:lastModifiedBy>
  <cp:lastPrinted>2004-08-27T08:33:30Z</cp:lastPrinted>
  <dcterms:created xsi:type="dcterms:W3CDTF">2002-05-19T06:20:37Z</dcterms:created>
  <dcterms:modified xsi:type="dcterms:W3CDTF">2004-08-15T13:09:22Z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-1444474941</vt:i4>
  </property>
  <property fmtid="{D5CDD505-2E9C-101B-9397-08002B2CF9AE}" pid="3" name="_EmailSubject">
    <vt:lpwstr>Revised Q2 2004 MPB Results</vt:lpwstr>
  </property>
  <property fmtid="{D5CDD505-2E9C-101B-9397-08002B2CF9AE}" pid="4" name="_AuthorEmail">
    <vt:lpwstr>farish@magnaprima.com.my</vt:lpwstr>
  </property>
  <property fmtid="{D5CDD505-2E9C-101B-9397-08002B2CF9AE}" pid="5" name="_AuthorEmailDisplayName">
    <vt:lpwstr>farish</vt:lpwstr>
  </property>
  <property fmtid="{D5CDD505-2E9C-101B-9397-08002B2CF9AE}" pid="6" name="_PreviousAdHocReviewCycleID">
    <vt:i4>-1347432532</vt:i4>
  </property>
</Properties>
</file>